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pivotCache/pivotCacheDefinition1.xml" ContentType="application/vnd.openxmlformats-officedocument.spreadsheetml.pivotCacheDefinition+xml"/>
  <Override PartName="/xl/pivotCache/pivotCacheDefinition2.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drawings/drawing3.xml" ContentType="application/vnd.openxmlformats-officedocument.drawing+xml"/>
  <Override PartName="/xl/charts/chart3.xml" ContentType="application/vnd.openxmlformats-officedocument.drawingml.chart+xml"/>
  <Override PartName="/xl/drawings/drawing4.xml" ContentType="application/vnd.openxmlformats-officedocument.drawing+xml"/>
  <Override PartName="/xl/pivotTables/pivotTable2.xml" ContentType="application/vnd.openxmlformats-officedocument.spreadsheetml.pivotTable+xml"/>
  <Override PartName="/xl/drawings/drawing5.xml" ContentType="application/vnd.openxmlformats-officedocument.drawing+xml"/>
  <Override PartName="/xl/charts/chart4.xml" ContentType="application/vnd.openxmlformats-officedocument.drawingml.chart+xml"/>
  <Override PartName="/xl/drawings/drawing6.xml" ContentType="application/vnd.openxmlformats-officedocument.drawing+xml"/>
  <Override PartName="/xl/charts/chart5.xml" ContentType="application/vnd.openxmlformats-officedocument.drawingml.chart+xml"/>
  <Override PartName="/xl/drawings/drawing7.xml" ContentType="application/vnd.openxmlformats-officedocument.drawing+xml"/>
  <Override PartName="/xl/charts/chart6.xml" ContentType="application/vnd.openxmlformats-officedocument.drawingml.chart+xml"/>
  <Override PartName="/xl/charts/chart7.xml" ContentType="application/vnd.openxmlformats-officedocument.drawingml.chart+xml"/>
  <Override PartName="/xl/charts/style1.xml" ContentType="application/vnd.ms-office.chartstyle+xml"/>
  <Override PartName="/xl/charts/colors1.xml" ContentType="application/vnd.ms-office.chartcolorstyle+xml"/>
  <Override PartName="/xl/comments1.xml" ContentType="application/vnd.openxmlformats-officedocument.spreadsheetml.comments+xml"/>
  <Override PartName="/xl/drawings/drawing8.xml" ContentType="application/vnd.openxmlformats-officedocument.drawing+xml"/>
  <Override PartName="/xl/charts/chart8.xml" ContentType="application/vnd.openxmlformats-officedocument.drawingml.chart+xml"/>
  <Override PartName="/xl/charts/chart9.xml" ContentType="application/vnd.openxmlformats-officedocument.drawingml.chart+xml"/>
  <Override PartName="/xl/charts/chart10.xml" ContentType="application/vnd.openxmlformats-officedocument.drawingml.chart+xml"/>
  <Override PartName="/xl/charts/chart11.xml" ContentType="application/vnd.openxmlformats-officedocument.drawingml.chart+xml"/>
  <Override PartName="/xl/drawings/drawing9.xml" ContentType="application/vnd.openxmlformats-officedocument.drawing+xml"/>
  <Override PartName="/xl/charts/chart12.xml" ContentType="application/vnd.openxmlformats-officedocument.drawingml.chart+xml"/>
  <Override PartName="/xl/charts/chart13.xml" ContentType="application/vnd.openxmlformats-officedocument.drawingml.chart+xml"/>
  <Override PartName="/xl/charts/chart14.xml" ContentType="application/vnd.openxmlformats-officedocument.drawingml.chart+xml"/>
  <Override PartName="/xl/drawings/drawing10.xml" ContentType="application/vnd.openxmlformats-officedocument.drawing+xml"/>
  <Override PartName="/xl/charts/chart15.xml" ContentType="application/vnd.openxmlformats-officedocument.drawingml.chart+xml"/>
  <Override PartName="/xl/charts/chart16.xml" ContentType="application/vnd.openxmlformats-officedocument.drawingml.chart+xml"/>
  <Override PartName="/xl/charts/chart17.xml" ContentType="application/vnd.openxmlformats-officedocument.drawingml.chart+xml"/>
  <Override PartName="/xl/drawings/drawing11.xml" ContentType="application/vnd.openxmlformats-officedocument.drawing+xml"/>
  <Override PartName="/xl/charts/chart18.xml" ContentType="application/vnd.openxmlformats-officedocument.drawingml.chart+xml"/>
  <Override PartName="/xl/charts/chart19.xml" ContentType="application/vnd.openxmlformats-officedocument.drawingml.chart+xml"/>
  <Override PartName="/xl/charts/chart20.xml" ContentType="application/vnd.openxmlformats-officedocument.drawingml.chart+xml"/>
  <Override PartName="/xl/drawings/drawing12.xml" ContentType="application/vnd.openxmlformats-officedocument.drawing+xml"/>
  <Override PartName="/xl/charts/chart21.xml" ContentType="application/vnd.openxmlformats-officedocument.drawingml.chart+xml"/>
  <Override PartName="/xl/charts/chart22.xml" ContentType="application/vnd.openxmlformats-officedocument.drawingml.chart+xml"/>
  <Override PartName="/xl/charts/chart23.xml" ContentType="application/vnd.openxmlformats-officedocument.drawingml.chart+xml"/>
  <Override PartName="/xl/charts/chart24.xml" ContentType="application/vnd.openxmlformats-officedocument.drawingml.chart+xml"/>
  <Override PartName="/xl/drawings/drawing13.xml" ContentType="application/vnd.openxmlformats-officedocument.drawing+xml"/>
  <Override PartName="/xl/charts/chart25.xml" ContentType="application/vnd.openxmlformats-officedocument.drawingml.chart+xml"/>
  <Override PartName="/xl/comments2.xml" ContentType="application/vnd.openxmlformats-officedocument.spreadsheetml.comments+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charts/chart26.xml" ContentType="application/vnd.openxmlformats-officedocument.drawingml.chart+xml"/>
  <Override PartName="/xl/charts/chart27.xml" ContentType="application/vnd.openxmlformats-officedocument.drawingml.chart+xml"/>
  <Override PartName="/xl/charts/chart28.xml" ContentType="application/vnd.openxmlformats-officedocument.drawingml.chart+xml"/>
  <Override PartName="/xl/charts/chart29.xml" ContentType="application/vnd.openxmlformats-officedocument.drawingml.chart+xml"/>
  <Override PartName="/xl/drawings/drawing18.xml" ContentType="application/vnd.openxmlformats-officedocument.drawing+xml"/>
  <Override PartName="/xl/charts/chart30.xml" ContentType="application/vnd.openxmlformats-officedocument.drawingml.chart+xml"/>
  <Override PartName="/xl/charts/chart31.xml" ContentType="application/vnd.openxmlformats-officedocument.drawingml.chart+xml"/>
  <Override PartName="/xl/charts/chart32.xml" ContentType="application/vnd.openxmlformats-officedocument.drawingml.chart+xml"/>
  <Override PartName="/xl/charts/chart33.xml" ContentType="application/vnd.openxmlformats-officedocument.drawingml.chart+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codeName="ThisWorkbook" defaultThemeVersion="166925"/>
  <mc:AlternateContent xmlns:mc="http://schemas.openxmlformats.org/markup-compatibility/2006">
    <mc:Choice Requires="x15">
      <x15ac:absPath xmlns:x15ac="http://schemas.microsoft.com/office/spreadsheetml/2010/11/ac" url="C:\Users\feriel ben safta\Desktop\Travaux de Monbat\Board Mars 2023\"/>
    </mc:Choice>
  </mc:AlternateContent>
  <xr:revisionPtr revIDLastSave="0" documentId="8_{A5B2A1A1-B499-434F-A31F-76745E0809D8}" xr6:coauthVersionLast="47" xr6:coauthVersionMax="47" xr10:uidLastSave="{00000000-0000-0000-0000-000000000000}"/>
  <bookViews>
    <workbookView xWindow="-120" yWindow="-120" windowWidth="20730" windowHeight="11160" tabRatio="868" firstSheet="28" activeTab="29" xr2:uid="{53D5EEAA-6A0C-EF4E-A470-C7BBBBB3F8AB}"/>
  </bookViews>
  <sheets>
    <sheet name="Prior BoD" sheetId="16" state="hidden" r:id="rId1"/>
    <sheet name="VISIAL LOB" sheetId="13" state="hidden" r:id="rId2"/>
    <sheet name="VISUALS_AGG. Demand" sheetId="15" state="hidden" r:id="rId3"/>
    <sheet name="Current BoD" sheetId="1" state="hidden" r:id="rId4"/>
    <sheet name="FY22 Fcst" sheetId="30" r:id="rId5"/>
    <sheet name="I.2 Operating Perfor_CONS_YTD" sheetId="25" r:id="rId6"/>
    <sheet name="VISUAL P&amp;L" sheetId="12" state="hidden" r:id="rId7"/>
    <sheet name="5,6 Inventory stratificatio (2)" sheetId="43" r:id="rId8"/>
    <sheet name="Analyse marge " sheetId="50" r:id="rId9"/>
    <sheet name="YTD Q1'23 SNA vs Q1'22" sheetId="27" r:id="rId10"/>
    <sheet name="YTD Q1'23 SND vs Q1'22" sheetId="29" r:id="rId11"/>
    <sheet name="YTD Q1'23 Cons. vs Q1'22" sheetId="45" r:id="rId12"/>
    <sheet name="Feuil1" sheetId="34" state="hidden" r:id="rId13"/>
    <sheet name="YTD Sep Cons. vs PY V2" sheetId="44" state="hidden" r:id="rId14"/>
    <sheet name="Amortization analyse " sheetId="53" state="hidden" r:id="rId15"/>
    <sheet name="TMM" sheetId="52" state="hidden" r:id="rId16"/>
    <sheet name="salary " sheetId="51" state="hidden" r:id="rId17"/>
    <sheet name="Other expense analyse " sheetId="49" r:id="rId18"/>
    <sheet name="Revenue analyse" sheetId="48" state="hidden" r:id="rId19"/>
    <sheet name="YTD Sep SNA vs PY" sheetId="40" state="hidden" r:id="rId20"/>
    <sheet name="Q1'23 CONSO vs BP Q1'22" sheetId="26" r:id="rId21"/>
    <sheet name="Q1'23 SNA vs BP Q1'22" sheetId="42" r:id="rId22"/>
    <sheet name="YTD Sep SND vs PY" sheetId="36" state="hidden" r:id="rId23"/>
    <sheet name="Q1'23 SND vs BP Q1'22" sheetId="37" r:id="rId24"/>
    <sheet name="6.1 Fin_strenght-Net Profit Dec" sheetId="47" r:id="rId25"/>
    <sheet name="6.1 Fin_strenght-Net Profit Sep" sheetId="19" state="hidden" r:id="rId26"/>
    <sheet name="Nour Net debt" sheetId="21" r:id="rId27"/>
    <sheet name="6.2 Financial Strenght - 3D" sheetId="20" r:id="rId28"/>
    <sheet name="WC Workings" sheetId="22" r:id="rId29"/>
    <sheet name="5.1 Corp. liquidity - WC Br DEC" sheetId="46" r:id="rId30"/>
    <sheet name="4.2 Export market stratif " sheetId="33" r:id="rId31"/>
    <sheet name="4.2 Domestic market stratif" sheetId="38" r:id="rId32"/>
    <sheet name="4.3 Domestic product strati" sheetId="39" r:id="rId33"/>
    <sheet name="5.1 Corp. liquidity - WC Br SEP" sheetId="17" state="hidden" r:id="rId34"/>
    <sheet name="5,6 Inventory stratification" sheetId="18" state="hidden" r:id="rId35"/>
    <sheet name="Feuil2" sheetId="35" state="hidden" r:id="rId36"/>
    <sheet name="Ch2 YTDQ3 Var consolidated" sheetId="3" state="hidden" r:id="rId37"/>
    <sheet name="Ch4 SNA+SND YoY Var YTD Q3" sheetId="5" state="hidden" r:id="rId38"/>
    <sheet name="Ch3 FY22 Fcst conso+SNA+SND" sheetId="4" state="hidden" r:id="rId39"/>
    <sheet name="Ch5 WC conso+SNA+SND &amp; Inv." sheetId="6" state="hidden" r:id="rId40"/>
    <sheet name="Ch6 Debt&amp; financing" sheetId="7" state="hidden" r:id="rId41"/>
    <sheet name="Ch7&amp;8 Sales statistics" sheetId="8" state="hidden" r:id="rId42"/>
    <sheet name="4.2 Domestic market stratificat" sheetId="23" state="hidden" r:id="rId43"/>
    <sheet name="4.3 Domestic product stratif." sheetId="24" state="hidden" r:id="rId44"/>
  </sheets>
  <externalReferences>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s>
  <definedNames>
    <definedName name="____DTF1">[1]Paramètres!$B$6</definedName>
    <definedName name="____MF81">#REF!</definedName>
    <definedName name="___DTF1">[1]Paramètres!$B$6</definedName>
    <definedName name="___MF81">#REF!</definedName>
    <definedName name="__1_0__123Grap" localSheetId="31" hidden="1">'[2]K&amp;Z'!#REF!</definedName>
    <definedName name="__1_0__123Grap" localSheetId="42" hidden="1">'[2]K&amp;Z'!#REF!</definedName>
    <definedName name="__1_0__123Grap" localSheetId="30" hidden="1">'[2]K&amp;Z'!#REF!</definedName>
    <definedName name="__1_0__123Grap" localSheetId="32" hidden="1">'[2]K&amp;Z'!#REF!</definedName>
    <definedName name="__1_0__123Grap" localSheetId="43" hidden="1">'[2]K&amp;Z'!#REF!</definedName>
    <definedName name="__1_0__123Grap" localSheetId="5" hidden="1">'[2]K&amp;Z'!#REF!</definedName>
    <definedName name="__1_0__123Grap" localSheetId="26" hidden="1">'[3]K&amp;Z'!#REF!</definedName>
    <definedName name="__1_0__123Grap" localSheetId="9" hidden="1">'[2]K&amp;Z'!#REF!</definedName>
    <definedName name="__1_0__123Grap" localSheetId="19" hidden="1">'[2]K&amp;Z'!#REF!</definedName>
    <definedName name="__1_0__123Grap" hidden="1">'[2]K&amp;Z'!#REF!</definedName>
    <definedName name="__123Graph_B" localSheetId="5" hidden="1">'[2]K&amp;Z'!#REF!</definedName>
    <definedName name="__123Graph_B" localSheetId="26" hidden="1">'[3]K&amp;Z'!#REF!</definedName>
    <definedName name="__123Graph_B" localSheetId="9" hidden="1">'[2]K&amp;Z'!#REF!</definedName>
    <definedName name="__123Graph_B" localSheetId="19" hidden="1">'[2]K&amp;Z'!#REF!</definedName>
    <definedName name="__123Graph_B" hidden="1">'[2]K&amp;Z'!#REF!</definedName>
    <definedName name="__123Graph_F" localSheetId="5" hidden="1">'[2]K&amp;Z'!#REF!</definedName>
    <definedName name="__123Graph_F" localSheetId="26" hidden="1">'[3]K&amp;Z'!#REF!</definedName>
    <definedName name="__123Graph_F" localSheetId="9" hidden="1">'[2]K&amp;Z'!#REF!</definedName>
    <definedName name="__123Graph_F" localSheetId="19" hidden="1">'[2]K&amp;Z'!#REF!</definedName>
    <definedName name="__123Graph_F" hidden="1">'[2]K&amp;Z'!#REF!</definedName>
    <definedName name="__DAT1" localSheetId="5">'[4]K10 FA register 30 jun 2003'!#REF!</definedName>
    <definedName name="__DAT1" localSheetId="26">'[4]K10 FA register 30 jun 2003'!#REF!</definedName>
    <definedName name="__DAT1" localSheetId="9">'[4]K10 FA register 30 jun 2003'!#REF!</definedName>
    <definedName name="__DAT1" localSheetId="19">'[4]K10 FA register 30 jun 2003'!#REF!</definedName>
    <definedName name="__DAT1">'[4]K10 FA register 30 jun 2003'!#REF!</definedName>
    <definedName name="__DAT10" localSheetId="5">'[4]K10 FA register 30 jun 2003'!#REF!</definedName>
    <definedName name="__DAT10" localSheetId="26">'[4]K10 FA register 30 jun 2003'!#REF!</definedName>
    <definedName name="__DAT10" localSheetId="9">'[4]K10 FA register 30 jun 2003'!#REF!</definedName>
    <definedName name="__DAT10" localSheetId="19">'[4]K10 FA register 30 jun 2003'!#REF!</definedName>
    <definedName name="__DAT10">'[4]K10 FA register 30 jun 2003'!#REF!</definedName>
    <definedName name="__DAT5" localSheetId="5">'[4]K10 FA register 30 jun 2003'!#REF!</definedName>
    <definedName name="__DAT5" localSheetId="26">'[4]K10 FA register 30 jun 2003'!#REF!</definedName>
    <definedName name="__DAT5" localSheetId="9">'[4]K10 FA register 30 jun 2003'!#REF!</definedName>
    <definedName name="__DAT5" localSheetId="19">'[4]K10 FA register 30 jun 2003'!#REF!</definedName>
    <definedName name="__DAT5">'[4]K10 FA register 30 jun 2003'!#REF!</definedName>
    <definedName name="__DTF1">[1]Paramètres!$B$6</definedName>
    <definedName name="__IntlFixup" hidden="1">TRUE</definedName>
    <definedName name="__MF81">#REF!</definedName>
    <definedName name="_1" localSheetId="26">[5]SATIŞ!$A$1:$S$23</definedName>
    <definedName name="_1" localSheetId="9">[6]SATIŞ!$A$1:$S$23</definedName>
    <definedName name="_1" localSheetId="19">[6]SATIŞ!$A$1:$S$23</definedName>
    <definedName name="_1">[7]SATIŞ!$A$1:$S$23</definedName>
    <definedName name="_1_0__123Grap" localSheetId="31" hidden="1">'[2]K&amp;Z'!#REF!</definedName>
    <definedName name="_1_0__123Grap" localSheetId="42" hidden="1">'[2]K&amp;Z'!#REF!</definedName>
    <definedName name="_1_0__123Grap" localSheetId="30" hidden="1">'[2]K&amp;Z'!#REF!</definedName>
    <definedName name="_1_0__123Grap" localSheetId="32" hidden="1">'[2]K&amp;Z'!#REF!</definedName>
    <definedName name="_1_0__123Grap" localSheetId="43" hidden="1">'[2]K&amp;Z'!#REF!</definedName>
    <definedName name="_1_0__123Grap" localSheetId="5" hidden="1">'[2]K&amp;Z'!#REF!</definedName>
    <definedName name="_1_0__123Grap" localSheetId="26" hidden="1">'[3]K&amp;Z'!#REF!</definedName>
    <definedName name="_1_0__123Grap" localSheetId="9" hidden="1">'[2]K&amp;Z'!#REF!</definedName>
    <definedName name="_1_0__123Grap" localSheetId="19" hidden="1">'[2]K&amp;Z'!#REF!</definedName>
    <definedName name="_1_0__123Grap" hidden="1">'[2]K&amp;Z'!#REF!</definedName>
    <definedName name="_2" localSheetId="26">[5]SATIŞ!$A$27:$S$47</definedName>
    <definedName name="_2" localSheetId="9">[6]SATIŞ!$A$27:$S$47</definedName>
    <definedName name="_2" localSheetId="19">[6]SATIŞ!$A$27:$S$47</definedName>
    <definedName name="_2">[7]SATIŞ!$A$27:$S$47</definedName>
    <definedName name="_3" localSheetId="26">[5]SATIŞ!$A$50:$S$71</definedName>
    <definedName name="_3" localSheetId="9">[6]SATIŞ!$A$50:$S$71</definedName>
    <definedName name="_3" localSheetId="19">[6]SATIŞ!$A$50:$S$71</definedName>
    <definedName name="_3">[7]SATIŞ!$A$50:$S$71</definedName>
    <definedName name="_4" localSheetId="26">[5]SATIŞ!$A$75:$S$95</definedName>
    <definedName name="_4" localSheetId="9">[6]SATIŞ!$A$75:$S$95</definedName>
    <definedName name="_4" localSheetId="19">[6]SATIŞ!$A$75:$S$95</definedName>
    <definedName name="_4">[7]SATIŞ!$A$75:$S$95</definedName>
    <definedName name="_4_0__123Grap" localSheetId="31" hidden="1">'[7]K&amp;Z'!#REF!</definedName>
    <definedName name="_4_0__123Grap" localSheetId="42" hidden="1">'[7]K&amp;Z'!#REF!</definedName>
    <definedName name="_4_0__123Grap" localSheetId="30" hidden="1">'[7]K&amp;Z'!#REF!</definedName>
    <definedName name="_4_0__123Grap" localSheetId="32" hidden="1">'[7]K&amp;Z'!#REF!</definedName>
    <definedName name="_4_0__123Grap" localSheetId="43" hidden="1">'[7]K&amp;Z'!#REF!</definedName>
    <definedName name="_4_0__123Grap" localSheetId="5" hidden="1">'[7]K&amp;Z'!#REF!</definedName>
    <definedName name="_4_0__123Grap" localSheetId="26" hidden="1">'[5]K&amp;Z'!#REF!</definedName>
    <definedName name="_4_0__123Grap" localSheetId="9" hidden="1">'[6]K&amp;Z'!#REF!</definedName>
    <definedName name="_4_0__123Grap" localSheetId="19" hidden="1">'[6]K&amp;Z'!#REF!</definedName>
    <definedName name="_4_0__123Grap" hidden="1">'[7]K&amp;Z'!#REF!</definedName>
    <definedName name="_5" localSheetId="26">[5]SATIŞ!$A$99:$S$114</definedName>
    <definedName name="_5" localSheetId="9">[6]SATIŞ!$A$99:$S$114</definedName>
    <definedName name="_5" localSheetId="19">[6]SATIŞ!$A$99:$S$114</definedName>
    <definedName name="_5">[7]SATIŞ!$A$99:$S$114</definedName>
    <definedName name="_6" localSheetId="26">[5]SATIŞ!$A$118:$S$134</definedName>
    <definedName name="_6" localSheetId="9">[6]SATIŞ!$A$118:$S$134</definedName>
    <definedName name="_6" localSheetId="19">[6]SATIŞ!$A$118:$S$134</definedName>
    <definedName name="_6">[7]SATIŞ!$A$118:$S$134</definedName>
    <definedName name="_DAT1" localSheetId="31">'[4]K10 FA register 30 jun 2003'!#REF!</definedName>
    <definedName name="_DAT1" localSheetId="42">'[4]K10 FA register 30 jun 2003'!#REF!</definedName>
    <definedName name="_DAT1" localSheetId="30">'[4]K10 FA register 30 jun 2003'!#REF!</definedName>
    <definedName name="_DAT1" localSheetId="32">'[4]K10 FA register 30 jun 2003'!#REF!</definedName>
    <definedName name="_DAT1" localSheetId="43">'[4]K10 FA register 30 jun 2003'!#REF!</definedName>
    <definedName name="_DAT1" localSheetId="5">'[4]K10 FA register 30 jun 2003'!#REF!</definedName>
    <definedName name="_DAT1" localSheetId="26">'[4]K10 FA register 30 jun 2003'!#REF!</definedName>
    <definedName name="_DAT1" localSheetId="9">'[4]K10 FA register 30 jun 2003'!#REF!</definedName>
    <definedName name="_DAT1" localSheetId="19">'[4]K10 FA register 30 jun 2003'!#REF!</definedName>
    <definedName name="_DAT1">'[4]K10 FA register 30 jun 2003'!#REF!</definedName>
    <definedName name="_DAT10" localSheetId="31">'[4]K10 FA register 30 jun 2003'!#REF!</definedName>
    <definedName name="_DAT10" localSheetId="42">'[4]K10 FA register 30 jun 2003'!#REF!</definedName>
    <definedName name="_DAT10" localSheetId="30">'[4]K10 FA register 30 jun 2003'!#REF!</definedName>
    <definedName name="_DAT10" localSheetId="32">'[4]K10 FA register 30 jun 2003'!#REF!</definedName>
    <definedName name="_DAT10" localSheetId="43">'[4]K10 FA register 30 jun 2003'!#REF!</definedName>
    <definedName name="_DAT10" localSheetId="5">'[4]K10 FA register 30 jun 2003'!#REF!</definedName>
    <definedName name="_DAT10" localSheetId="26">'[4]K10 FA register 30 jun 2003'!#REF!</definedName>
    <definedName name="_DAT10" localSheetId="9">'[4]K10 FA register 30 jun 2003'!#REF!</definedName>
    <definedName name="_DAT10" localSheetId="19">'[4]K10 FA register 30 jun 2003'!#REF!</definedName>
    <definedName name="_DAT10">'[4]K10 FA register 30 jun 2003'!#REF!</definedName>
    <definedName name="_DAT5" localSheetId="5">'[4]K10 FA register 30 jun 2003'!#REF!</definedName>
    <definedName name="_DAT5" localSheetId="26">'[4]K10 FA register 30 jun 2003'!#REF!</definedName>
    <definedName name="_DAT5" localSheetId="9">'[4]K10 FA register 30 jun 2003'!#REF!</definedName>
    <definedName name="_DAT5" localSheetId="19">'[4]K10 FA register 30 jun 2003'!#REF!</definedName>
    <definedName name="_DAT5">'[4]K10 FA register 30 jun 2003'!#REF!</definedName>
    <definedName name="_DTF1">[1]Paramètres!$B$6</definedName>
    <definedName name="_Fill" localSheetId="31" hidden="1">#REF!</definedName>
    <definedName name="_Fill" localSheetId="42" hidden="1">#REF!</definedName>
    <definedName name="_Fill" localSheetId="30" hidden="1">#REF!</definedName>
    <definedName name="_Fill" localSheetId="32" hidden="1">#REF!</definedName>
    <definedName name="_Fill" localSheetId="43" hidden="1">#REF!</definedName>
    <definedName name="_Fill" localSheetId="5" hidden="1">#REF!</definedName>
    <definedName name="_Fill" localSheetId="26" hidden="1">#REF!</definedName>
    <definedName name="_Fill" localSheetId="9" hidden="1">#REF!</definedName>
    <definedName name="_Fill" localSheetId="19" hidden="1">#REF!</definedName>
    <definedName name="_Fill" hidden="1">#REF!</definedName>
    <definedName name="_xlnm._FilterDatabase" localSheetId="31" hidden="1">'4.2 Domestic market stratif'!$AH$43:$AJ$98</definedName>
    <definedName name="_xlnm._FilterDatabase" localSheetId="30" hidden="1">'4.2 Export market stratif '!$N$56:$R$65</definedName>
    <definedName name="_xlnm._FilterDatabase" localSheetId="7" hidden="1">'5,6 Inventory stratificatio (2)'!$Z$51:$AA$76</definedName>
    <definedName name="_xlnm._FilterDatabase" localSheetId="34" hidden="1">'5,6 Inventory stratification'!$U$49:$V$74</definedName>
    <definedName name="_xlnm._FilterDatabase" localSheetId="17" hidden="1">'Other expense analyse '!$A$4:$N$54</definedName>
    <definedName name="_xlnm._FilterDatabase" localSheetId="28" hidden="1">'WC Workings'!$B$33:$N$55</definedName>
    <definedName name="_Hlk142839769" localSheetId="31">#REF!</definedName>
    <definedName name="_Hlk142839769" localSheetId="42">#REF!</definedName>
    <definedName name="_Hlk142839769" localSheetId="30">#REF!</definedName>
    <definedName name="_Hlk142839769" localSheetId="32">#REF!</definedName>
    <definedName name="_Hlk142839769" localSheetId="43">#REF!</definedName>
    <definedName name="_Hlk142839769" localSheetId="5">#REF!</definedName>
    <definedName name="_Hlk142839769" localSheetId="26">#REF!</definedName>
    <definedName name="_Hlk142839769" localSheetId="9">#REF!</definedName>
    <definedName name="_Hlk142839769" localSheetId="19">#REF!</definedName>
    <definedName name="_Hlk142839769">#REF!</definedName>
    <definedName name="_MF81">#REF!</definedName>
    <definedName name="_Order1" hidden="1">0</definedName>
    <definedName name="_RSE2">'[8]CMA Calculations'!$H$17</definedName>
    <definedName name="a" localSheetId="31" hidden="1">{"'Grafik Kontrol'!$A$1:$J$8"}</definedName>
    <definedName name="a" localSheetId="42" hidden="1">{"'Grafik Kontrol'!$A$1:$J$8"}</definedName>
    <definedName name="a" localSheetId="30" hidden="1">{"'Grafik Kontrol'!$A$1:$J$8"}</definedName>
    <definedName name="a" localSheetId="32" hidden="1">{"'Grafik Kontrol'!$A$1:$J$8"}</definedName>
    <definedName name="a" localSheetId="43" hidden="1">{"'Grafik Kontrol'!$A$1:$J$8"}</definedName>
    <definedName name="a" localSheetId="7" hidden="1">{"'Grafik Kontrol'!$A$1:$J$8"}</definedName>
    <definedName name="a" localSheetId="5" hidden="1">{"'Grafik Kontrol'!$A$1:$J$8"}</definedName>
    <definedName name="a" localSheetId="26" hidden="1">{"'Grafik Kontrol'!$A$1:$J$8"}</definedName>
    <definedName name="a" localSheetId="21" hidden="1">{"'Grafik Kontrol'!$A$1:$J$8"}</definedName>
    <definedName name="a" localSheetId="23" hidden="1">{"'Grafik Kontrol'!$A$1:$J$8"}</definedName>
    <definedName name="a" localSheetId="9" hidden="1">{"'Grafik Kontrol'!$A$1:$J$8"}</definedName>
    <definedName name="a" localSheetId="19" hidden="1">{"'Grafik Kontrol'!$A$1:$J$8"}</definedName>
    <definedName name="a" localSheetId="22" hidden="1">{"'Grafik Kontrol'!$A$1:$J$8"}</definedName>
    <definedName name="a" hidden="1">{"'Grafik Kontrol'!$A$1:$J$8"}</definedName>
    <definedName name="A5_Сметкоплан" localSheetId="5">[9]elem_2012!$AU$752:$AV$900</definedName>
    <definedName name="A5_Сметкоплан" localSheetId="26">[10]elem_2012!$AU$752:$AV$900</definedName>
    <definedName name="A5_Сметкоплан" localSheetId="9">[11]elem_2012!$AU$752:$AV$900</definedName>
    <definedName name="A5_Сметкоплан" localSheetId="19">[11]elem_2012!$AU$752:$AV$900</definedName>
    <definedName name="A5_Сметкоплан">[12]elem_2012!$AU$752:$AV$900</definedName>
    <definedName name="aa" localSheetId="31" hidden="1">{"'Grafik Kontrol'!$A$1:$J$8"}</definedName>
    <definedName name="aa" localSheetId="42" hidden="1">{"'Grafik Kontrol'!$A$1:$J$8"}</definedName>
    <definedName name="aa" localSheetId="30" hidden="1">{"'Grafik Kontrol'!$A$1:$J$8"}</definedName>
    <definedName name="aa" localSheetId="32" hidden="1">{"'Grafik Kontrol'!$A$1:$J$8"}</definedName>
    <definedName name="aa" localSheetId="43" hidden="1">{"'Grafik Kontrol'!$A$1:$J$8"}</definedName>
    <definedName name="aa" localSheetId="7" hidden="1">{"'Grafik Kontrol'!$A$1:$J$8"}</definedName>
    <definedName name="aa" localSheetId="5" hidden="1">{"'Grafik Kontrol'!$A$1:$J$8"}</definedName>
    <definedName name="aa" localSheetId="26" hidden="1">{"'Grafik Kontrol'!$A$1:$J$8"}</definedName>
    <definedName name="aa" localSheetId="21" hidden="1">{"'Grafik Kontrol'!$A$1:$J$8"}</definedName>
    <definedName name="aa" localSheetId="23" hidden="1">{"'Grafik Kontrol'!$A$1:$J$8"}</definedName>
    <definedName name="aa" localSheetId="9" hidden="1">{"'Grafik Kontrol'!$A$1:$J$8"}</definedName>
    <definedName name="aa" localSheetId="19" hidden="1">{"'Grafik Kontrol'!$A$1:$J$8"}</definedName>
    <definedName name="aa" localSheetId="22" hidden="1">{"'Grafik Kontrol'!$A$1:$J$8"}</definedName>
    <definedName name="aa" hidden="1">{"'Grafik Kontrol'!$A$1:$J$8"}</definedName>
    <definedName name="AAA" localSheetId="31" hidden="1">{"'Grafik Kontrol'!$A$1:$J$8"}</definedName>
    <definedName name="AAA" localSheetId="42" hidden="1">{"'Grafik Kontrol'!$A$1:$J$8"}</definedName>
    <definedName name="AAA" localSheetId="30" hidden="1">{"'Grafik Kontrol'!$A$1:$J$8"}</definedName>
    <definedName name="AAA" localSheetId="32" hidden="1">{"'Grafik Kontrol'!$A$1:$J$8"}</definedName>
    <definedName name="AAA" localSheetId="43" hidden="1">{"'Grafik Kontrol'!$A$1:$J$8"}</definedName>
    <definedName name="AAA" localSheetId="7" hidden="1">{"'Grafik Kontrol'!$A$1:$J$8"}</definedName>
    <definedName name="AAA" localSheetId="5" hidden="1">{"'Grafik Kontrol'!$A$1:$J$8"}</definedName>
    <definedName name="AAA" localSheetId="26" hidden="1">{"'Grafik Kontrol'!$A$1:$J$8"}</definedName>
    <definedName name="AAA" localSheetId="21" hidden="1">{"'Grafik Kontrol'!$A$1:$J$8"}</definedName>
    <definedName name="AAA" localSheetId="23" hidden="1">{"'Grafik Kontrol'!$A$1:$J$8"}</definedName>
    <definedName name="AAA" localSheetId="9" hidden="1">{"'Grafik Kontrol'!$A$1:$J$8"}</definedName>
    <definedName name="AAA" localSheetId="19" hidden="1">{"'Grafik Kontrol'!$A$1:$J$8"}</definedName>
    <definedName name="AAA" localSheetId="22" hidden="1">{"'Grafik Kontrol'!$A$1:$J$8"}</definedName>
    <definedName name="AAA" hidden="1">{"'Grafik Kontrol'!$A$1:$J$8"}</definedName>
    <definedName name="aaaa" localSheetId="31" hidden="1">{"Valuation Letter",#N/A,TRUE,"Valuation Summary";"Financial Statements Letter",#N/A,TRUE,"Results";"Results Letter",#N/A,TRUE,"Results";"Ratios Letter",#N/A,TRUE,"Results"}</definedName>
    <definedName name="aaaa" localSheetId="42" hidden="1">{"Valuation Letter",#N/A,TRUE,"Valuation Summary";"Financial Statements Letter",#N/A,TRUE,"Results";"Results Letter",#N/A,TRUE,"Results";"Ratios Letter",#N/A,TRUE,"Results"}</definedName>
    <definedName name="aaaa" localSheetId="30" hidden="1">{"Valuation Letter",#N/A,TRUE,"Valuation Summary";"Financial Statements Letter",#N/A,TRUE,"Results";"Results Letter",#N/A,TRUE,"Results";"Ratios Letter",#N/A,TRUE,"Results"}</definedName>
    <definedName name="aaaa" localSheetId="32" hidden="1">{"Valuation Letter",#N/A,TRUE,"Valuation Summary";"Financial Statements Letter",#N/A,TRUE,"Results";"Results Letter",#N/A,TRUE,"Results";"Ratios Letter",#N/A,TRUE,"Results"}</definedName>
    <definedName name="aaaa" localSheetId="43" hidden="1">{"Valuation Letter",#N/A,TRUE,"Valuation Summary";"Financial Statements Letter",#N/A,TRUE,"Results";"Results Letter",#N/A,TRUE,"Results";"Ratios Letter",#N/A,TRUE,"Results"}</definedName>
    <definedName name="aaaa" localSheetId="7" hidden="1">{"Valuation Letter",#N/A,TRUE,"Valuation Summary";"Financial Statements Letter",#N/A,TRUE,"Results";"Results Letter",#N/A,TRUE,"Results";"Ratios Letter",#N/A,TRUE,"Results"}</definedName>
    <definedName name="aaaa" localSheetId="5" hidden="1">{"Valuation Letter",#N/A,TRUE,"Valuation Summary";"Financial Statements Letter",#N/A,TRUE,"Results";"Results Letter",#N/A,TRUE,"Results";"Ratios Letter",#N/A,TRUE,"Results"}</definedName>
    <definedName name="aaaa" localSheetId="26" hidden="1">{"Valuation Letter",#N/A,TRUE,"Valuation Summary";"Financial Statements Letter",#N/A,TRUE,"Results";"Results Letter",#N/A,TRUE,"Results";"Ratios Letter",#N/A,TRUE,"Results"}</definedName>
    <definedName name="aaaa" localSheetId="21" hidden="1">{"Valuation Letter",#N/A,TRUE,"Valuation Summary";"Financial Statements Letter",#N/A,TRUE,"Results";"Results Letter",#N/A,TRUE,"Results";"Ratios Letter",#N/A,TRUE,"Results"}</definedName>
    <definedName name="aaaa" localSheetId="23" hidden="1">{"Valuation Letter",#N/A,TRUE,"Valuation Summary";"Financial Statements Letter",#N/A,TRUE,"Results";"Results Letter",#N/A,TRUE,"Results";"Ratios Letter",#N/A,TRUE,"Results"}</definedName>
    <definedName name="aaaa" localSheetId="9" hidden="1">{"Valuation Letter",#N/A,TRUE,"Valuation Summary";"Financial Statements Letter",#N/A,TRUE,"Results";"Results Letter",#N/A,TRUE,"Results";"Ratios Letter",#N/A,TRUE,"Results"}</definedName>
    <definedName name="aaaa" localSheetId="19" hidden="1">{"Valuation Letter",#N/A,TRUE,"Valuation Summary";"Financial Statements Letter",#N/A,TRUE,"Results";"Results Letter",#N/A,TRUE,"Results";"Ratios Letter",#N/A,TRUE,"Results"}</definedName>
    <definedName name="aaaa" localSheetId="22" hidden="1">{"Valuation Letter",#N/A,TRUE,"Valuation Summary";"Financial Statements Letter",#N/A,TRUE,"Results";"Results Letter",#N/A,TRUE,"Results";"Ratios Letter",#N/A,TRUE,"Results"}</definedName>
    <definedName name="aaaa" hidden="1">{"Valuation Letter",#N/A,TRUE,"Valuation Summary";"Financial Statements Letter",#N/A,TRUE,"Results";"Results Letter",#N/A,TRUE,"Results";"Ratios Letter",#N/A,TRUE,"Results"}</definedName>
    <definedName name="aaaaaaaaaaaaaaaaaaaaaaaaaaaaaaaaaaaaaaaaaaaaaaaaaaaaaaa" localSheetId="31" hidden="1">{"'Grafik Kontrol'!$A$1:$J$8"}</definedName>
    <definedName name="aaaaaaaaaaaaaaaaaaaaaaaaaaaaaaaaaaaaaaaaaaaaaaaaaaaaaaa" localSheetId="42" hidden="1">{"'Grafik Kontrol'!$A$1:$J$8"}</definedName>
    <definedName name="aaaaaaaaaaaaaaaaaaaaaaaaaaaaaaaaaaaaaaaaaaaaaaaaaaaaaaa" localSheetId="30" hidden="1">{"'Grafik Kontrol'!$A$1:$J$8"}</definedName>
    <definedName name="aaaaaaaaaaaaaaaaaaaaaaaaaaaaaaaaaaaaaaaaaaaaaaaaaaaaaaa" localSheetId="32" hidden="1">{"'Grafik Kontrol'!$A$1:$J$8"}</definedName>
    <definedName name="aaaaaaaaaaaaaaaaaaaaaaaaaaaaaaaaaaaaaaaaaaaaaaaaaaaaaaa" localSheetId="43" hidden="1">{"'Grafik Kontrol'!$A$1:$J$8"}</definedName>
    <definedName name="aaaaaaaaaaaaaaaaaaaaaaaaaaaaaaaaaaaaaaaaaaaaaaaaaaaaaaa" localSheetId="7" hidden="1">{"'Grafik Kontrol'!$A$1:$J$8"}</definedName>
    <definedName name="aaaaaaaaaaaaaaaaaaaaaaaaaaaaaaaaaaaaaaaaaaaaaaaaaaaaaaa" localSheetId="5" hidden="1">{"'Grafik Kontrol'!$A$1:$J$8"}</definedName>
    <definedName name="aaaaaaaaaaaaaaaaaaaaaaaaaaaaaaaaaaaaaaaaaaaaaaaaaaaaaaa" localSheetId="26" hidden="1">{"'Grafik Kontrol'!$A$1:$J$8"}</definedName>
    <definedName name="aaaaaaaaaaaaaaaaaaaaaaaaaaaaaaaaaaaaaaaaaaaaaaaaaaaaaaa" localSheetId="21" hidden="1">{"'Grafik Kontrol'!$A$1:$J$8"}</definedName>
    <definedName name="aaaaaaaaaaaaaaaaaaaaaaaaaaaaaaaaaaaaaaaaaaaaaaaaaaaaaaa" localSheetId="23" hidden="1">{"'Grafik Kontrol'!$A$1:$J$8"}</definedName>
    <definedName name="aaaaaaaaaaaaaaaaaaaaaaaaaaaaaaaaaaaaaaaaaaaaaaaaaaaaaaa" localSheetId="9" hidden="1">{"'Grafik Kontrol'!$A$1:$J$8"}</definedName>
    <definedName name="aaaaaaaaaaaaaaaaaaaaaaaaaaaaaaaaaaaaaaaaaaaaaaaaaaaaaaa" localSheetId="19" hidden="1">{"'Grafik Kontrol'!$A$1:$J$8"}</definedName>
    <definedName name="aaaaaaaaaaaaaaaaaaaaaaaaaaaaaaaaaaaaaaaaaaaaaaaaaaaaaaa" localSheetId="22" hidden="1">{"'Grafik Kontrol'!$A$1:$J$8"}</definedName>
    <definedName name="aaaaaaaaaaaaaaaaaaaaaaaaaaaaaaaaaaaaaaaaaaaaaaaaaaaaaaa" hidden="1">{"'Grafik Kontrol'!$A$1:$J$8"}</definedName>
    <definedName name="ab" localSheetId="31" hidden="1">{"Valuation Letter",#N/A,TRUE,"Valuation Summary";"Financial Statements Letter",#N/A,TRUE,"Results";"Results Letter",#N/A,TRUE,"Results";"Ratios Letter",#N/A,TRUE,"Results";"Historical data Letter",#N/A,TRUE,"Historical Data";"Forecast inputs Letter",#N/A,TRUE,"Forecast Drivers"}</definedName>
    <definedName name="ab" localSheetId="42" hidden="1">{"Valuation Letter",#N/A,TRUE,"Valuation Summary";"Financial Statements Letter",#N/A,TRUE,"Results";"Results Letter",#N/A,TRUE,"Results";"Ratios Letter",#N/A,TRUE,"Results";"Historical data Letter",#N/A,TRUE,"Historical Data";"Forecast inputs Letter",#N/A,TRUE,"Forecast Drivers"}</definedName>
    <definedName name="ab" localSheetId="30" hidden="1">{"Valuation Letter",#N/A,TRUE,"Valuation Summary";"Financial Statements Letter",#N/A,TRUE,"Results";"Results Letter",#N/A,TRUE,"Results";"Ratios Letter",#N/A,TRUE,"Results";"Historical data Letter",#N/A,TRUE,"Historical Data";"Forecast inputs Letter",#N/A,TRUE,"Forecast Drivers"}</definedName>
    <definedName name="ab" localSheetId="32" hidden="1">{"Valuation Letter",#N/A,TRUE,"Valuation Summary";"Financial Statements Letter",#N/A,TRUE,"Results";"Results Letter",#N/A,TRUE,"Results";"Ratios Letter",#N/A,TRUE,"Results";"Historical data Letter",#N/A,TRUE,"Historical Data";"Forecast inputs Letter",#N/A,TRUE,"Forecast Drivers"}</definedName>
    <definedName name="ab" localSheetId="43" hidden="1">{"Valuation Letter",#N/A,TRUE,"Valuation Summary";"Financial Statements Letter",#N/A,TRUE,"Results";"Results Letter",#N/A,TRUE,"Results";"Ratios Letter",#N/A,TRUE,"Results";"Historical data Letter",#N/A,TRUE,"Historical Data";"Forecast inputs Letter",#N/A,TRUE,"Forecast Drivers"}</definedName>
    <definedName name="ab" localSheetId="7" hidden="1">{"Valuation Letter",#N/A,TRUE,"Valuation Summary";"Financial Statements Letter",#N/A,TRUE,"Results";"Results Letter",#N/A,TRUE,"Results";"Ratios Letter",#N/A,TRUE,"Results";"Historical data Letter",#N/A,TRUE,"Historical Data";"Forecast inputs Letter",#N/A,TRUE,"Forecast Drivers"}</definedName>
    <definedName name="ab" localSheetId="5" hidden="1">{"Valuation Letter",#N/A,TRUE,"Valuation Summary";"Financial Statements Letter",#N/A,TRUE,"Results";"Results Letter",#N/A,TRUE,"Results";"Ratios Letter",#N/A,TRUE,"Results";"Historical data Letter",#N/A,TRUE,"Historical Data";"Forecast inputs Letter",#N/A,TRUE,"Forecast Drivers"}</definedName>
    <definedName name="ab" localSheetId="26" hidden="1">{"Valuation Letter",#N/A,TRUE,"Valuation Summary";"Financial Statements Letter",#N/A,TRUE,"Results";"Results Letter",#N/A,TRUE,"Results";"Ratios Letter",#N/A,TRUE,"Results";"Historical data Letter",#N/A,TRUE,"Historical Data";"Forecast inputs Letter",#N/A,TRUE,"Forecast Drivers"}</definedName>
    <definedName name="ab" localSheetId="21" hidden="1">{"Valuation Letter",#N/A,TRUE,"Valuation Summary";"Financial Statements Letter",#N/A,TRUE,"Results";"Results Letter",#N/A,TRUE,"Results";"Ratios Letter",#N/A,TRUE,"Results";"Historical data Letter",#N/A,TRUE,"Historical Data";"Forecast inputs Letter",#N/A,TRUE,"Forecast Drivers"}</definedName>
    <definedName name="ab" localSheetId="23" hidden="1">{"Valuation Letter",#N/A,TRUE,"Valuation Summary";"Financial Statements Letter",#N/A,TRUE,"Results";"Results Letter",#N/A,TRUE,"Results";"Ratios Letter",#N/A,TRUE,"Results";"Historical data Letter",#N/A,TRUE,"Historical Data";"Forecast inputs Letter",#N/A,TRUE,"Forecast Drivers"}</definedName>
    <definedName name="ab" localSheetId="9" hidden="1">{"Valuation Letter",#N/A,TRUE,"Valuation Summary";"Financial Statements Letter",#N/A,TRUE,"Results";"Results Letter",#N/A,TRUE,"Results";"Ratios Letter",#N/A,TRUE,"Results";"Historical data Letter",#N/A,TRUE,"Historical Data";"Forecast inputs Letter",#N/A,TRUE,"Forecast Drivers"}</definedName>
    <definedName name="ab" localSheetId="19" hidden="1">{"Valuation Letter",#N/A,TRUE,"Valuation Summary";"Financial Statements Letter",#N/A,TRUE,"Results";"Results Letter",#N/A,TRUE,"Results";"Ratios Letter",#N/A,TRUE,"Results";"Historical data Letter",#N/A,TRUE,"Historical Data";"Forecast inputs Letter",#N/A,TRUE,"Forecast Drivers"}</definedName>
    <definedName name="ab" localSheetId="22" hidden="1">{"Valuation Letter",#N/A,TRUE,"Valuation Summary";"Financial Statements Letter",#N/A,TRUE,"Results";"Results Letter",#N/A,TRUE,"Results";"Ratios Letter",#N/A,TRUE,"Results";"Historical data Letter",#N/A,TRUE,"Historical Data";"Forecast inputs Letter",#N/A,TRUE,"Forecast Drivers"}</definedName>
    <definedName name="ab" hidden="1">{"Valuation Letter",#N/A,TRUE,"Valuation Summary";"Financial Statements Letter",#N/A,TRUE,"Results";"Results Letter",#N/A,TRUE,"Results";"Ratios Letter",#N/A,TRUE,"Results";"Historical data Letter",#N/A,TRUE,"Historical Data";"Forecast inputs Letter",#N/A,TRUE,"Forecast Drivers"}</definedName>
    <definedName name="abc" localSheetId="31" hidden="1">{"Valuation",#N/A,TRUE,"Valuation Summary";"Financial Statements",#N/A,TRUE,"Results";"Results",#N/A,TRUE,"Results";"Ratios",#N/A,TRUE,"Results";"Historical data",#N/A,TRUE,"Historical Data";"Forecast inputs",#N/A,TRUE,"Forecast Drivers"}</definedName>
    <definedName name="abc" localSheetId="42" hidden="1">{"Valuation",#N/A,TRUE,"Valuation Summary";"Financial Statements",#N/A,TRUE,"Results";"Results",#N/A,TRUE,"Results";"Ratios",#N/A,TRUE,"Results";"Historical data",#N/A,TRUE,"Historical Data";"Forecast inputs",#N/A,TRUE,"Forecast Drivers"}</definedName>
    <definedName name="abc" localSheetId="30" hidden="1">{"Valuation",#N/A,TRUE,"Valuation Summary";"Financial Statements",#N/A,TRUE,"Results";"Results",#N/A,TRUE,"Results";"Ratios",#N/A,TRUE,"Results";"Historical data",#N/A,TRUE,"Historical Data";"Forecast inputs",#N/A,TRUE,"Forecast Drivers"}</definedName>
    <definedName name="abc" localSheetId="32" hidden="1">{"Valuation",#N/A,TRUE,"Valuation Summary";"Financial Statements",#N/A,TRUE,"Results";"Results",#N/A,TRUE,"Results";"Ratios",#N/A,TRUE,"Results";"Historical data",#N/A,TRUE,"Historical Data";"Forecast inputs",#N/A,TRUE,"Forecast Drivers"}</definedName>
    <definedName name="abc" localSheetId="43" hidden="1">{"Valuation",#N/A,TRUE,"Valuation Summary";"Financial Statements",#N/A,TRUE,"Results";"Results",#N/A,TRUE,"Results";"Ratios",#N/A,TRUE,"Results";"Historical data",#N/A,TRUE,"Historical Data";"Forecast inputs",#N/A,TRUE,"Forecast Drivers"}</definedName>
    <definedName name="abc" localSheetId="7" hidden="1">{"Valuation",#N/A,TRUE,"Valuation Summary";"Financial Statements",#N/A,TRUE,"Results";"Results",#N/A,TRUE,"Results";"Ratios",#N/A,TRUE,"Results";"Historical data",#N/A,TRUE,"Historical Data";"Forecast inputs",#N/A,TRUE,"Forecast Drivers"}</definedName>
    <definedName name="abc" localSheetId="5" hidden="1">{"Valuation",#N/A,TRUE,"Valuation Summary";"Financial Statements",#N/A,TRUE,"Results";"Results",#N/A,TRUE,"Results";"Ratios",#N/A,TRUE,"Results";"Historical data",#N/A,TRUE,"Historical Data";"Forecast inputs",#N/A,TRUE,"Forecast Drivers"}</definedName>
    <definedName name="abc" localSheetId="26" hidden="1">{"Valuation",#N/A,TRUE,"Valuation Summary";"Financial Statements",#N/A,TRUE,"Results";"Results",#N/A,TRUE,"Results";"Ratios",#N/A,TRUE,"Results";"Historical data",#N/A,TRUE,"Historical Data";"Forecast inputs",#N/A,TRUE,"Forecast Drivers"}</definedName>
    <definedName name="abc" localSheetId="21" hidden="1">{"Valuation",#N/A,TRUE,"Valuation Summary";"Financial Statements",#N/A,TRUE,"Results";"Results",#N/A,TRUE,"Results";"Ratios",#N/A,TRUE,"Results";"Historical data",#N/A,TRUE,"Historical Data";"Forecast inputs",#N/A,TRUE,"Forecast Drivers"}</definedName>
    <definedName name="abc" localSheetId="23" hidden="1">{"Valuation",#N/A,TRUE,"Valuation Summary";"Financial Statements",#N/A,TRUE,"Results";"Results",#N/A,TRUE,"Results";"Ratios",#N/A,TRUE,"Results";"Historical data",#N/A,TRUE,"Historical Data";"Forecast inputs",#N/A,TRUE,"Forecast Drivers"}</definedName>
    <definedName name="abc" localSheetId="9" hidden="1">{"Valuation",#N/A,TRUE,"Valuation Summary";"Financial Statements",#N/A,TRUE,"Results";"Results",#N/A,TRUE,"Results";"Ratios",#N/A,TRUE,"Results";"Historical data",#N/A,TRUE,"Historical Data";"Forecast inputs",#N/A,TRUE,"Forecast Drivers"}</definedName>
    <definedName name="abc" localSheetId="19" hidden="1">{"Valuation",#N/A,TRUE,"Valuation Summary";"Financial Statements",#N/A,TRUE,"Results";"Results",#N/A,TRUE,"Results";"Ratios",#N/A,TRUE,"Results";"Historical data",#N/A,TRUE,"Historical Data";"Forecast inputs",#N/A,TRUE,"Forecast Drivers"}</definedName>
    <definedName name="abc" localSheetId="22" hidden="1">{"Valuation",#N/A,TRUE,"Valuation Summary";"Financial Statements",#N/A,TRUE,"Results";"Results",#N/A,TRUE,"Results";"Ratios",#N/A,TRUE,"Results";"Historical data",#N/A,TRUE,"Historical Data";"Forecast inputs",#N/A,TRUE,"Forecast Drivers"}</definedName>
    <definedName name="abc" hidden="1">{"Valuation",#N/A,TRUE,"Valuation Summary";"Financial Statements",#N/A,TRUE,"Results";"Results",#N/A,TRUE,"Results";"Ratios",#N/A,TRUE,"Results";"Historical data",#N/A,TRUE,"Historical Data";"Forecast inputs",#N/A,TRUE,"Forecast Drivers"}</definedName>
    <definedName name="abcd" localSheetId="31" hidden="1">{"Valuation",#N/A,TRUE,"Valuation Summary";"Financial Statements",#N/A,TRUE,"Results";"Results",#N/A,TRUE,"Results";"Ratios",#N/A,TRUE,"Results"}</definedName>
    <definedName name="abcd" localSheetId="42" hidden="1">{"Valuation",#N/A,TRUE,"Valuation Summary";"Financial Statements",#N/A,TRUE,"Results";"Results",#N/A,TRUE,"Results";"Ratios",#N/A,TRUE,"Results"}</definedName>
    <definedName name="abcd" localSheetId="30" hidden="1">{"Valuation",#N/A,TRUE,"Valuation Summary";"Financial Statements",#N/A,TRUE,"Results";"Results",#N/A,TRUE,"Results";"Ratios",#N/A,TRUE,"Results"}</definedName>
    <definedName name="abcd" localSheetId="32" hidden="1">{"Valuation",#N/A,TRUE,"Valuation Summary";"Financial Statements",#N/A,TRUE,"Results";"Results",#N/A,TRUE,"Results";"Ratios",#N/A,TRUE,"Results"}</definedName>
    <definedName name="abcd" localSheetId="43" hidden="1">{"Valuation",#N/A,TRUE,"Valuation Summary";"Financial Statements",#N/A,TRUE,"Results";"Results",#N/A,TRUE,"Results";"Ratios",#N/A,TRUE,"Results"}</definedName>
    <definedName name="abcd" localSheetId="7" hidden="1">{"Valuation",#N/A,TRUE,"Valuation Summary";"Financial Statements",#N/A,TRUE,"Results";"Results",#N/A,TRUE,"Results";"Ratios",#N/A,TRUE,"Results"}</definedName>
    <definedName name="abcd" localSheetId="5" hidden="1">{"Valuation",#N/A,TRUE,"Valuation Summary";"Financial Statements",#N/A,TRUE,"Results";"Results",#N/A,TRUE,"Results";"Ratios",#N/A,TRUE,"Results"}</definedName>
    <definedName name="abcd" localSheetId="26" hidden="1">{"Valuation",#N/A,TRUE,"Valuation Summary";"Financial Statements",#N/A,TRUE,"Results";"Results",#N/A,TRUE,"Results";"Ratios",#N/A,TRUE,"Results"}</definedName>
    <definedName name="abcd" localSheetId="21" hidden="1">{"Valuation",#N/A,TRUE,"Valuation Summary";"Financial Statements",#N/A,TRUE,"Results";"Results",#N/A,TRUE,"Results";"Ratios",#N/A,TRUE,"Results"}</definedName>
    <definedName name="abcd" localSheetId="23" hidden="1">{"Valuation",#N/A,TRUE,"Valuation Summary";"Financial Statements",#N/A,TRUE,"Results";"Results",#N/A,TRUE,"Results";"Ratios",#N/A,TRUE,"Results"}</definedName>
    <definedName name="abcd" localSheetId="9" hidden="1">{"Valuation",#N/A,TRUE,"Valuation Summary";"Financial Statements",#N/A,TRUE,"Results";"Results",#N/A,TRUE,"Results";"Ratios",#N/A,TRUE,"Results"}</definedName>
    <definedName name="abcd" localSheetId="19" hidden="1">{"Valuation",#N/A,TRUE,"Valuation Summary";"Financial Statements",#N/A,TRUE,"Results";"Results",#N/A,TRUE,"Results";"Ratios",#N/A,TRUE,"Results"}</definedName>
    <definedName name="abcd" localSheetId="22" hidden="1">{"Valuation",#N/A,TRUE,"Valuation Summary";"Financial Statements",#N/A,TRUE,"Results";"Results",#N/A,TRUE,"Results";"Ratios",#N/A,TRUE,"Results"}</definedName>
    <definedName name="abcd" hidden="1">{"Valuation",#N/A,TRUE,"Valuation Summary";"Financial Statements",#N/A,TRUE,"Results";"Results",#N/A,TRUE,"Results";"Ratios",#N/A,TRUE,"Results"}</definedName>
    <definedName name="acc">[13]N_ACCTUN!$A$12:$C$629</definedName>
    <definedName name="Acconting_Estimates" localSheetId="31">#REF!</definedName>
    <definedName name="Acconting_Estimates" localSheetId="30">#REF!</definedName>
    <definedName name="Acconting_Estimates" localSheetId="32">#REF!</definedName>
    <definedName name="Acconting_Estimates">#REF!</definedName>
    <definedName name="account" localSheetId="31">#REF!</definedName>
    <definedName name="account" localSheetId="30">#REF!</definedName>
    <definedName name="account" localSheetId="32">#REF!</definedName>
    <definedName name="account">#REF!</definedName>
    <definedName name="Account_Balance" localSheetId="31">#REF!</definedName>
    <definedName name="Account_Balance" localSheetId="42">#REF!</definedName>
    <definedName name="Account_Balance" localSheetId="30">#REF!</definedName>
    <definedName name="Account_Balance" localSheetId="32">#REF!</definedName>
    <definedName name="Account_Balance" localSheetId="43">#REF!</definedName>
    <definedName name="Account_Balance" localSheetId="5">#REF!</definedName>
    <definedName name="Account_Balance" localSheetId="26">#REF!</definedName>
    <definedName name="Account_Balance" localSheetId="9">#REF!</definedName>
    <definedName name="Account_Balance" localSheetId="19">#REF!</definedName>
    <definedName name="Account_Balance">#REF!</definedName>
    <definedName name="ACLARACIONES_AYUDA" localSheetId="20">#REF!</definedName>
    <definedName name="ACLARACIONES_AYUDA" localSheetId="11">#REF!</definedName>
    <definedName name="ACLARACIONES_AYUDA" localSheetId="13">#REF!</definedName>
    <definedName name="ACLARACIONES_AYUDA">#REF!</definedName>
    <definedName name="Additions">#REF!</definedName>
    <definedName name="Additions_Template_Link">#REF!</definedName>
    <definedName name="AdditivesA" localSheetId="31">#REF!</definedName>
    <definedName name="AdditivesA" localSheetId="42">#REF!</definedName>
    <definedName name="AdditivesA" localSheetId="30">#REF!</definedName>
    <definedName name="AdditivesA" localSheetId="32">#REF!</definedName>
    <definedName name="AdditivesA" localSheetId="43">#REF!</definedName>
    <definedName name="AdditivesA" localSheetId="5">#REF!</definedName>
    <definedName name="AdditivesA" localSheetId="26">#REF!</definedName>
    <definedName name="AdditivesA" localSheetId="9">#REF!</definedName>
    <definedName name="AdditivesA" localSheetId="19">#REF!</definedName>
    <definedName name="AdditivesA">#REF!</definedName>
    <definedName name="AdditivesB" localSheetId="31">#REF!</definedName>
    <definedName name="AdditivesB" localSheetId="42">#REF!</definedName>
    <definedName name="AdditivesB" localSheetId="30">#REF!</definedName>
    <definedName name="AdditivesB" localSheetId="32">#REF!</definedName>
    <definedName name="AdditivesB" localSheetId="43">#REF!</definedName>
    <definedName name="AdditivesB" localSheetId="5">#REF!</definedName>
    <definedName name="AdditivesB" localSheetId="26">#REF!</definedName>
    <definedName name="AdditivesB" localSheetId="9">#REF!</definedName>
    <definedName name="AdditivesB" localSheetId="19">#REF!</definedName>
    <definedName name="AdditivesB">#REF!</definedName>
    <definedName name="AdditivesC" localSheetId="31">#REF!</definedName>
    <definedName name="AdditivesC" localSheetId="42">#REF!</definedName>
    <definedName name="AdditivesC" localSheetId="30">#REF!</definedName>
    <definedName name="AdditivesC" localSheetId="32">#REF!</definedName>
    <definedName name="AdditivesC" localSheetId="43">#REF!</definedName>
    <definedName name="AdditivesC" localSheetId="5">#REF!</definedName>
    <definedName name="AdditivesC" localSheetId="26">#REF!</definedName>
    <definedName name="AdditivesC" localSheetId="9">#REF!</definedName>
    <definedName name="AdditivesC" localSheetId="19">#REF!</definedName>
    <definedName name="AdditivesC">#REF!</definedName>
    <definedName name="AdditivesP" localSheetId="31">#REF!</definedName>
    <definedName name="AdditivesP" localSheetId="42">#REF!</definedName>
    <definedName name="AdditivesP" localSheetId="30">#REF!</definedName>
    <definedName name="AdditivesP" localSheetId="32">#REF!</definedName>
    <definedName name="AdditivesP" localSheetId="43">#REF!</definedName>
    <definedName name="AdditivesP" localSheetId="5">#REF!</definedName>
    <definedName name="AdditivesP" localSheetId="26">#REF!</definedName>
    <definedName name="AdditivesP" localSheetId="9">#REF!</definedName>
    <definedName name="AdditivesP" localSheetId="19">#REF!</definedName>
    <definedName name="AdditivesP">#REF!</definedName>
    <definedName name="AdditivesR" localSheetId="31">#REF!</definedName>
    <definedName name="AdditivesR" localSheetId="42">#REF!</definedName>
    <definedName name="AdditivesR" localSheetId="30">#REF!</definedName>
    <definedName name="AdditivesR" localSheetId="32">#REF!</definedName>
    <definedName name="AdditivesR" localSheetId="43">#REF!</definedName>
    <definedName name="AdditivesR" localSheetId="5">#REF!</definedName>
    <definedName name="AdditivesR" localSheetId="26">#REF!</definedName>
    <definedName name="AdditivesR" localSheetId="9">#REF!</definedName>
    <definedName name="AdditivesR" localSheetId="19">#REF!</definedName>
    <definedName name="AdditivesR">#REF!</definedName>
    <definedName name="Affect" localSheetId="20">'[14]Balance comparative (2)'!$J:$J</definedName>
    <definedName name="Affect" localSheetId="11">'[14]Balance comparative (2)'!$J:$J</definedName>
    <definedName name="Affect" localSheetId="13">'[14]Balance comparative (2)'!$J:$J</definedName>
    <definedName name="Affect">'[14]Balance comparative (2)'!$J:$J</definedName>
    <definedName name="affect1" localSheetId="20">[15]VariationFLUX00!#REF!</definedName>
    <definedName name="affect1" localSheetId="11">[15]VariationFLUX00!#REF!</definedName>
    <definedName name="affect1" localSheetId="13">[15]VariationFLUX00!#REF!</definedName>
    <definedName name="affect1">[15]VariationFLUX00!#REF!</definedName>
    <definedName name="anscount" hidden="1">1</definedName>
    <definedName name="ANSW_05_04">#REF!</definedName>
    <definedName name="ANSW_05_07">#REF!</definedName>
    <definedName name="ANSW_07_05">#REF!</definedName>
    <definedName name="ANSW_09_02">#REF!</definedName>
    <definedName name="ANSW_09_02_01">#REF!</definedName>
    <definedName name="ANSW_99_02">#REF!</definedName>
    <definedName name="ARA_Threshold">'[16]Lead old'!$O$2</definedName>
    <definedName name="ARP_Threshold">'[16]Lead old'!$N$2</definedName>
    <definedName name="AS2DocOpenMode" hidden="1">"AS2DocumentEdit"</definedName>
    <definedName name="AS2HasNoAutoHeaderFooter" hidden="1">" "</definedName>
    <definedName name="AS2ReportLS" hidden="1">1</definedName>
    <definedName name="AS2StaticLS" hidden="1">#REF!</definedName>
    <definedName name="AS2SyncStepLS" hidden="1">0</definedName>
    <definedName name="AS2TickmarkLS" hidden="1">#REF!</definedName>
    <definedName name="AS2VersionLS" hidden="1">300</definedName>
    <definedName name="asdasdasd" localSheetId="5">[17]Plrap!#REF!</definedName>
    <definedName name="asdasdasd">[17]Plrap!#REF!</definedName>
    <definedName name="asfg" localSheetId="31" hidden="1">{"'Grafik Kontrol'!$A$1:$J$8"}</definedName>
    <definedName name="asfg" localSheetId="42" hidden="1">{"'Grafik Kontrol'!$A$1:$J$8"}</definedName>
    <definedName name="asfg" localSheetId="30" hidden="1">{"'Grafik Kontrol'!$A$1:$J$8"}</definedName>
    <definedName name="asfg" localSheetId="32" hidden="1">{"'Grafik Kontrol'!$A$1:$J$8"}</definedName>
    <definedName name="asfg" localSheetId="43" hidden="1">{"'Grafik Kontrol'!$A$1:$J$8"}</definedName>
    <definedName name="asfg" localSheetId="7" hidden="1">{"'Grafik Kontrol'!$A$1:$J$8"}</definedName>
    <definedName name="asfg" localSheetId="5" hidden="1">{"'Grafik Kontrol'!$A$1:$J$8"}</definedName>
    <definedName name="asfg" localSheetId="26" hidden="1">{"'Grafik Kontrol'!$A$1:$J$8"}</definedName>
    <definedName name="asfg" localSheetId="21" hidden="1">{"'Grafik Kontrol'!$A$1:$J$8"}</definedName>
    <definedName name="asfg" localSheetId="23" hidden="1">{"'Grafik Kontrol'!$A$1:$J$8"}</definedName>
    <definedName name="asfg" localSheetId="9" hidden="1">{"'Grafik Kontrol'!$A$1:$J$8"}</definedName>
    <definedName name="asfg" localSheetId="19" hidden="1">{"'Grafik Kontrol'!$A$1:$J$8"}</definedName>
    <definedName name="asfg" localSheetId="22" hidden="1">{"'Grafik Kontrol'!$A$1:$J$8"}</definedName>
    <definedName name="asfg" hidden="1">{"'Grafik Kontrol'!$A$1:$J$8"}</definedName>
    <definedName name="asg" localSheetId="31" hidden="1">{"Valuation",#N/A,TRUE,"Valuation Summary";"Financial Statements",#N/A,TRUE,"Results";"Results",#N/A,TRUE,"Results";"Ratios",#N/A,TRUE,"Results"}</definedName>
    <definedName name="asg" localSheetId="42" hidden="1">{"Valuation",#N/A,TRUE,"Valuation Summary";"Financial Statements",#N/A,TRUE,"Results";"Results",#N/A,TRUE,"Results";"Ratios",#N/A,TRUE,"Results"}</definedName>
    <definedName name="asg" localSheetId="30" hidden="1">{"Valuation",#N/A,TRUE,"Valuation Summary";"Financial Statements",#N/A,TRUE,"Results";"Results",#N/A,TRUE,"Results";"Ratios",#N/A,TRUE,"Results"}</definedName>
    <definedName name="asg" localSheetId="32" hidden="1">{"Valuation",#N/A,TRUE,"Valuation Summary";"Financial Statements",#N/A,TRUE,"Results";"Results",#N/A,TRUE,"Results";"Ratios",#N/A,TRUE,"Results"}</definedName>
    <definedName name="asg" localSheetId="43" hidden="1">{"Valuation",#N/A,TRUE,"Valuation Summary";"Financial Statements",#N/A,TRUE,"Results";"Results",#N/A,TRUE,"Results";"Ratios",#N/A,TRUE,"Results"}</definedName>
    <definedName name="asg" localSheetId="7" hidden="1">{"Valuation",#N/A,TRUE,"Valuation Summary";"Financial Statements",#N/A,TRUE,"Results";"Results",#N/A,TRUE,"Results";"Ratios",#N/A,TRUE,"Results"}</definedName>
    <definedName name="asg" localSheetId="5" hidden="1">{"Valuation",#N/A,TRUE,"Valuation Summary";"Financial Statements",#N/A,TRUE,"Results";"Results",#N/A,TRUE,"Results";"Ratios",#N/A,TRUE,"Results"}</definedName>
    <definedName name="asg" localSheetId="26" hidden="1">{"Valuation",#N/A,TRUE,"Valuation Summary";"Financial Statements",#N/A,TRUE,"Results";"Results",#N/A,TRUE,"Results";"Ratios",#N/A,TRUE,"Results"}</definedName>
    <definedName name="asg" localSheetId="21" hidden="1">{"Valuation",#N/A,TRUE,"Valuation Summary";"Financial Statements",#N/A,TRUE,"Results";"Results",#N/A,TRUE,"Results";"Ratios",#N/A,TRUE,"Results"}</definedName>
    <definedName name="asg" localSheetId="23" hidden="1">{"Valuation",#N/A,TRUE,"Valuation Summary";"Financial Statements",#N/A,TRUE,"Results";"Results",#N/A,TRUE,"Results";"Ratios",#N/A,TRUE,"Results"}</definedName>
    <definedName name="asg" localSheetId="9" hidden="1">{"Valuation",#N/A,TRUE,"Valuation Summary";"Financial Statements",#N/A,TRUE,"Results";"Results",#N/A,TRUE,"Results";"Ratios",#N/A,TRUE,"Results"}</definedName>
    <definedName name="asg" localSheetId="19" hidden="1">{"Valuation",#N/A,TRUE,"Valuation Summary";"Financial Statements",#N/A,TRUE,"Results";"Results",#N/A,TRUE,"Results";"Ratios",#N/A,TRUE,"Results"}</definedName>
    <definedName name="asg" localSheetId="22" hidden="1">{"Valuation",#N/A,TRUE,"Valuation Summary";"Financial Statements",#N/A,TRUE,"Results";"Results",#N/A,TRUE,"Results";"Ratios",#N/A,TRUE,"Results"}</definedName>
    <definedName name="asg" hidden="1">{"Valuation",#N/A,TRUE,"Valuation Summary";"Financial Statements",#N/A,TRUE,"Results";"Results",#N/A,TRUE,"Results";"Ratios",#N/A,TRUE,"Results"}</definedName>
    <definedName name="asga" localSheetId="31" hidden="1">{"'Grafik Kontrol'!$A$1:$J$8"}</definedName>
    <definedName name="asga" localSheetId="42" hidden="1">{"'Grafik Kontrol'!$A$1:$J$8"}</definedName>
    <definedName name="asga" localSheetId="30" hidden="1">{"'Grafik Kontrol'!$A$1:$J$8"}</definedName>
    <definedName name="asga" localSheetId="32" hidden="1">{"'Grafik Kontrol'!$A$1:$J$8"}</definedName>
    <definedName name="asga" localSheetId="43" hidden="1">{"'Grafik Kontrol'!$A$1:$J$8"}</definedName>
    <definedName name="asga" localSheetId="7" hidden="1">{"'Grafik Kontrol'!$A$1:$J$8"}</definedName>
    <definedName name="asga" localSheetId="5" hidden="1">{"'Grafik Kontrol'!$A$1:$J$8"}</definedName>
    <definedName name="asga" localSheetId="26" hidden="1">{"'Grafik Kontrol'!$A$1:$J$8"}</definedName>
    <definedName name="asga" localSheetId="21" hidden="1">{"'Grafik Kontrol'!$A$1:$J$8"}</definedName>
    <definedName name="asga" localSheetId="23" hidden="1">{"'Grafik Kontrol'!$A$1:$J$8"}</definedName>
    <definedName name="asga" localSheetId="9" hidden="1">{"'Grafik Kontrol'!$A$1:$J$8"}</definedName>
    <definedName name="asga" localSheetId="19" hidden="1">{"'Grafik Kontrol'!$A$1:$J$8"}</definedName>
    <definedName name="asga" localSheetId="22" hidden="1">{"'Grafik Kontrol'!$A$1:$J$8"}</definedName>
    <definedName name="asga" hidden="1">{"'Grafik Kontrol'!$A$1:$J$8"}</definedName>
    <definedName name="asgas" localSheetId="31" hidden="1">{"'Grafik Kontrol'!$A$1:$J$8"}</definedName>
    <definedName name="asgas" localSheetId="42" hidden="1">{"'Grafik Kontrol'!$A$1:$J$8"}</definedName>
    <definedName name="asgas" localSheetId="30" hidden="1">{"'Grafik Kontrol'!$A$1:$J$8"}</definedName>
    <definedName name="asgas" localSheetId="32" hidden="1">{"'Grafik Kontrol'!$A$1:$J$8"}</definedName>
    <definedName name="asgas" localSheetId="43" hidden="1">{"'Grafik Kontrol'!$A$1:$J$8"}</definedName>
    <definedName name="asgas" localSheetId="7" hidden="1">{"'Grafik Kontrol'!$A$1:$J$8"}</definedName>
    <definedName name="asgas" localSheetId="5" hidden="1">{"'Grafik Kontrol'!$A$1:$J$8"}</definedName>
    <definedName name="asgas" localSheetId="26" hidden="1">{"'Grafik Kontrol'!$A$1:$J$8"}</definedName>
    <definedName name="asgas" localSheetId="21" hidden="1">{"'Grafik Kontrol'!$A$1:$J$8"}</definedName>
    <definedName name="asgas" localSheetId="23" hidden="1">{"'Grafik Kontrol'!$A$1:$J$8"}</definedName>
    <definedName name="asgas" localSheetId="9" hidden="1">{"'Grafik Kontrol'!$A$1:$J$8"}</definedName>
    <definedName name="asgas" localSheetId="19" hidden="1">{"'Grafik Kontrol'!$A$1:$J$8"}</definedName>
    <definedName name="asgas" localSheetId="22" hidden="1">{"'Grafik Kontrol'!$A$1:$J$8"}</definedName>
    <definedName name="asgas" hidden="1">{"'Grafik Kontrol'!$A$1:$J$8"}</definedName>
    <definedName name="asgda" localSheetId="31" hidden="1">{"'Grafik Kontrol'!$A$1:$J$8"}</definedName>
    <definedName name="asgda" localSheetId="42" hidden="1">{"'Grafik Kontrol'!$A$1:$J$8"}</definedName>
    <definedName name="asgda" localSheetId="30" hidden="1">{"'Grafik Kontrol'!$A$1:$J$8"}</definedName>
    <definedName name="asgda" localSheetId="32" hidden="1">{"'Grafik Kontrol'!$A$1:$J$8"}</definedName>
    <definedName name="asgda" localSheetId="43" hidden="1">{"'Grafik Kontrol'!$A$1:$J$8"}</definedName>
    <definedName name="asgda" localSheetId="7" hidden="1">{"'Grafik Kontrol'!$A$1:$J$8"}</definedName>
    <definedName name="asgda" localSheetId="5" hidden="1">{"'Grafik Kontrol'!$A$1:$J$8"}</definedName>
    <definedName name="asgda" localSheetId="26" hidden="1">{"'Grafik Kontrol'!$A$1:$J$8"}</definedName>
    <definedName name="asgda" localSheetId="21" hidden="1">{"'Grafik Kontrol'!$A$1:$J$8"}</definedName>
    <definedName name="asgda" localSheetId="23" hidden="1">{"'Grafik Kontrol'!$A$1:$J$8"}</definedName>
    <definedName name="asgda" localSheetId="9" hidden="1">{"'Grafik Kontrol'!$A$1:$J$8"}</definedName>
    <definedName name="asgda" localSheetId="19" hidden="1">{"'Grafik Kontrol'!$A$1:$J$8"}</definedName>
    <definedName name="asgda" localSheetId="22" hidden="1">{"'Grafik Kontrol'!$A$1:$J$8"}</definedName>
    <definedName name="asgda" hidden="1">{"'Grafik Kontrol'!$A$1:$J$8"}</definedName>
    <definedName name="asgs" localSheetId="31" hidden="1">{"'Grafik Kontrol'!$A$1:$J$8"}</definedName>
    <definedName name="asgs" localSheetId="42" hidden="1">{"'Grafik Kontrol'!$A$1:$J$8"}</definedName>
    <definedName name="asgs" localSheetId="30" hidden="1">{"'Grafik Kontrol'!$A$1:$J$8"}</definedName>
    <definedName name="asgs" localSheetId="32" hidden="1">{"'Grafik Kontrol'!$A$1:$J$8"}</definedName>
    <definedName name="asgs" localSheetId="43" hidden="1">{"'Grafik Kontrol'!$A$1:$J$8"}</definedName>
    <definedName name="asgs" localSheetId="7" hidden="1">{"'Grafik Kontrol'!$A$1:$J$8"}</definedName>
    <definedName name="asgs" localSheetId="5" hidden="1">{"'Grafik Kontrol'!$A$1:$J$8"}</definedName>
    <definedName name="asgs" localSheetId="26" hidden="1">{"'Grafik Kontrol'!$A$1:$J$8"}</definedName>
    <definedName name="asgs" localSheetId="21" hidden="1">{"'Grafik Kontrol'!$A$1:$J$8"}</definedName>
    <definedName name="asgs" localSheetId="23" hidden="1">{"'Grafik Kontrol'!$A$1:$J$8"}</definedName>
    <definedName name="asgs" localSheetId="9" hidden="1">{"'Grafik Kontrol'!$A$1:$J$8"}</definedName>
    <definedName name="asgs" localSheetId="19" hidden="1">{"'Grafik Kontrol'!$A$1:$J$8"}</definedName>
    <definedName name="asgs" localSheetId="22" hidden="1">{"'Grafik Kontrol'!$A$1:$J$8"}</definedName>
    <definedName name="asgs" hidden="1">{"'Grafik Kontrol'!$A$1:$J$8"}</definedName>
    <definedName name="authorName">[18]Начална!$AA$3</definedName>
    <definedName name="AVR" localSheetId="31" hidden="1">{"'Grafik Kontrol'!$A$1:$J$8"}</definedName>
    <definedName name="AVR" localSheetId="42" hidden="1">{"'Grafik Kontrol'!$A$1:$J$8"}</definedName>
    <definedName name="AVR" localSheetId="30" hidden="1">{"'Grafik Kontrol'!$A$1:$J$8"}</definedName>
    <definedName name="AVR" localSheetId="32" hidden="1">{"'Grafik Kontrol'!$A$1:$J$8"}</definedName>
    <definedName name="AVR" localSheetId="43" hidden="1">{"'Grafik Kontrol'!$A$1:$J$8"}</definedName>
    <definedName name="AVR" localSheetId="7" hidden="1">{"'Grafik Kontrol'!$A$1:$J$8"}</definedName>
    <definedName name="AVR" localSheetId="5" hidden="1">{"'Grafik Kontrol'!$A$1:$J$8"}</definedName>
    <definedName name="AVR" localSheetId="26" hidden="1">{"'Grafik Kontrol'!$A$1:$J$8"}</definedName>
    <definedName name="AVR" localSheetId="21" hidden="1">{"'Grafik Kontrol'!$A$1:$J$8"}</definedName>
    <definedName name="AVR" localSheetId="23" hidden="1">{"'Grafik Kontrol'!$A$1:$J$8"}</definedName>
    <definedName name="AVR" localSheetId="9" hidden="1">{"'Grafik Kontrol'!$A$1:$J$8"}</definedName>
    <definedName name="AVR" localSheetId="19" hidden="1">{"'Grafik Kontrol'!$A$1:$J$8"}</definedName>
    <definedName name="AVR" localSheetId="22" hidden="1">{"'Grafik Kontrol'!$A$1:$J$8"}</definedName>
    <definedName name="AVR" hidden="1">{"'Grafik Kontrol'!$A$1:$J$8"}</definedName>
    <definedName name="AYUDA_PLAZO_ENTREGA" localSheetId="20">#REF!</definedName>
    <definedName name="AYUDA_PLAZO_ENTREGA" localSheetId="11">#REF!</definedName>
    <definedName name="AYUDA_PLAZO_ENTREGA" localSheetId="13">#REF!</definedName>
    <definedName name="AYUDA_PLAZO_ENTREGA">#REF!</definedName>
    <definedName name="az" localSheetId="31">'4.2 Domestic market stratif'!az</definedName>
    <definedName name="az" localSheetId="30">'4.2 Export market stratif '!az</definedName>
    <definedName name="az" localSheetId="32">'4.3 Domestic product strati'!az</definedName>
    <definedName name="az" localSheetId="7">#N/A</definedName>
    <definedName name="az" localSheetId="20">'Q1''23 CONSO vs BP Q1''22'!az</definedName>
    <definedName name="az" localSheetId="21">'Q1''23 SNA vs BP Q1''22'!az</definedName>
    <definedName name="az" localSheetId="23">'Q1''23 SND vs BP Q1''22'!az</definedName>
    <definedName name="az" localSheetId="11">'YTD Q1''23 Cons. vs Q1''22'!az</definedName>
    <definedName name="az" localSheetId="13">'YTD Sep Cons. vs PY V2'!az</definedName>
    <definedName name="az" localSheetId="22">'YTD Sep SND vs PY'!az</definedName>
    <definedName name="az">[0]!az</definedName>
    <definedName name="b" localSheetId="31" hidden="1">{"'Grafik Kontrol'!$A$1:$J$8"}</definedName>
    <definedName name="b" localSheetId="42" hidden="1">{"'Grafik Kontrol'!$A$1:$J$8"}</definedName>
    <definedName name="b" localSheetId="30" hidden="1">{"'Grafik Kontrol'!$A$1:$J$8"}</definedName>
    <definedName name="b" localSheetId="32" hidden="1">{"'Grafik Kontrol'!$A$1:$J$8"}</definedName>
    <definedName name="b" localSheetId="43" hidden="1">{"'Grafik Kontrol'!$A$1:$J$8"}</definedName>
    <definedName name="b" localSheetId="7" hidden="1">{"'Grafik Kontrol'!$A$1:$J$8"}</definedName>
    <definedName name="b" localSheetId="5" hidden="1">{"'Grafik Kontrol'!$A$1:$J$8"}</definedName>
    <definedName name="b" localSheetId="26" hidden="1">{"'Grafik Kontrol'!$A$1:$J$8"}</definedName>
    <definedName name="b" localSheetId="21" hidden="1">{"'Grafik Kontrol'!$A$1:$J$8"}</definedName>
    <definedName name="b" localSheetId="23" hidden="1">{"'Grafik Kontrol'!$A$1:$J$8"}</definedName>
    <definedName name="b" localSheetId="9" hidden="1">{"'Grafik Kontrol'!$A$1:$J$8"}</definedName>
    <definedName name="b" localSheetId="19" hidden="1">{"'Grafik Kontrol'!$A$1:$J$8"}</definedName>
    <definedName name="b" localSheetId="22" hidden="1">{"'Grafik Kontrol'!$A$1:$J$8"}</definedName>
    <definedName name="b" hidden="1">{"'Grafik Kontrol'!$A$1:$J$8"}</definedName>
    <definedName name="Bal_CodeGroupeAnalyse" localSheetId="20">#REF!</definedName>
    <definedName name="Bal_CodeGroupeAnalyse" localSheetId="11">#REF!</definedName>
    <definedName name="Bal_CodeGroupeAnalyse" localSheetId="13">#REF!</definedName>
    <definedName name="Bal_CodeGroupeAnalyse">#REF!</definedName>
    <definedName name="Bal_CompteDebut" localSheetId="20">#REF!</definedName>
    <definedName name="Bal_CompteDebut" localSheetId="11">#REF!</definedName>
    <definedName name="Bal_CompteDebut" localSheetId="9">#REF!</definedName>
    <definedName name="Bal_CompteDebut" localSheetId="13">#REF!</definedName>
    <definedName name="Bal_CompteDebut" localSheetId="19">#REF!</definedName>
    <definedName name="Bal_CompteDebut">#REF!</definedName>
    <definedName name="Bal_CompteFin" localSheetId="20">#REF!</definedName>
    <definedName name="Bal_CompteFin" localSheetId="11">#REF!</definedName>
    <definedName name="Bal_CompteFin" localSheetId="9">#REF!</definedName>
    <definedName name="Bal_CompteFin" localSheetId="13">#REF!</definedName>
    <definedName name="Bal_CompteFin" localSheetId="19">#REF!</definedName>
    <definedName name="Bal_CompteFin">#REF!</definedName>
    <definedName name="Bal_DateDebut" localSheetId="20">#REF!</definedName>
    <definedName name="Bal_DateDebut" localSheetId="11">#REF!</definedName>
    <definedName name="Bal_DateDebut" localSheetId="9">#REF!</definedName>
    <definedName name="Bal_DateDebut" localSheetId="13">#REF!</definedName>
    <definedName name="Bal_DateDebut" localSheetId="19">#REF!</definedName>
    <definedName name="Bal_DateDebut">#REF!</definedName>
    <definedName name="Bal_DateFin" localSheetId="20">#REF!</definedName>
    <definedName name="Bal_DateFin" localSheetId="11">#REF!</definedName>
    <definedName name="Bal_DateFin" localSheetId="9">#REF!</definedName>
    <definedName name="Bal_DateFin" localSheetId="13">#REF!</definedName>
    <definedName name="Bal_DateFin" localSheetId="19">#REF!</definedName>
    <definedName name="Bal_DateFin">#REF!</definedName>
    <definedName name="Bal_NomGroupeAnalyse" localSheetId="20">#REF!</definedName>
    <definedName name="Bal_NomGroupeAnalyse" localSheetId="11">#REF!</definedName>
    <definedName name="Bal_NomGroupeAnalyse" localSheetId="9">#REF!</definedName>
    <definedName name="Bal_NomGroupeAnalyse" localSheetId="13">#REF!</definedName>
    <definedName name="Bal_NomGroupeAnalyse" localSheetId="19">#REF!</definedName>
    <definedName name="Bal_NomGroupeAnalyse">#REF!</definedName>
    <definedName name="Bal_TypeEcriture" localSheetId="20">#REF!</definedName>
    <definedName name="Bal_TypeEcriture" localSheetId="11">#REF!</definedName>
    <definedName name="Bal_TypeEcriture" localSheetId="9">#REF!</definedName>
    <definedName name="Bal_TypeEcriture" localSheetId="13">#REF!</definedName>
    <definedName name="Bal_TypeEcriture" localSheetId="19">#REF!</definedName>
    <definedName name="Bal_TypeEcriture">#REF!</definedName>
    <definedName name="BALANCE000999" localSheetId="20">#REF!</definedName>
    <definedName name="BALANCE000999" localSheetId="11">#REF!</definedName>
    <definedName name="BALANCE000999" localSheetId="13">#REF!</definedName>
    <definedName name="BALANCE000999">#REF!</definedName>
    <definedName name="BalanceSheetTable">'[19]Balance Sheet Report '!$A$5:$D$104</definedName>
    <definedName name="Balx_CodeGroupeAnalyse" localSheetId="9">[20]BALANCEAUX!$B$2</definedName>
    <definedName name="Balx_CodeGroupeAnalyse" localSheetId="19">[20]BALANCEAUX!$B$2</definedName>
    <definedName name="Balx_CodeGroupeAnalyse">[21]BALANCEAUX!$B$2</definedName>
    <definedName name="Balx_Compte" localSheetId="9">[20]BALANCEAUX!$D$2</definedName>
    <definedName name="Balx_Compte" localSheetId="19">[20]BALANCEAUX!$D$2</definedName>
    <definedName name="Balx_Compte">[21]BALANCEAUX!$D$2</definedName>
    <definedName name="Balx_DateDebut" localSheetId="9">[20]BALANCEAUX!$A$5</definedName>
    <definedName name="Balx_DateDebut" localSheetId="19">[20]BALANCEAUX!$A$5</definedName>
    <definedName name="Balx_DateDebut">[21]BALANCEAUX!$A$5</definedName>
    <definedName name="Balx_DateFin" localSheetId="9">[20]BALANCEAUX!$B$5</definedName>
    <definedName name="Balx_DateFin" localSheetId="19">[20]BALANCEAUX!$B$5</definedName>
    <definedName name="Balx_DateFin">[21]BALANCEAUX!$B$5</definedName>
    <definedName name="Balx_LibelleCompte" localSheetId="9">[20]BALANCEAUX!$D$3</definedName>
    <definedName name="Balx_LibelleCompte" localSheetId="19">[20]BALANCEAUX!$D$3</definedName>
    <definedName name="Balx_LibelleCompte">[21]BALANCEAUX!$D$3</definedName>
    <definedName name="Balx_NbLignes" localSheetId="7">[22]BALANCEAUX!#REF!</definedName>
    <definedName name="Balx_NbLignes" localSheetId="20">[20]BALANCEAUX!#REF!</definedName>
    <definedName name="Balx_NbLignes" localSheetId="11">[20]BALANCEAUX!#REF!</definedName>
    <definedName name="Balx_NbLignes" localSheetId="9">[20]BALANCEAUX!#REF!</definedName>
    <definedName name="Balx_NbLignes" localSheetId="13">[20]BALANCEAUX!#REF!</definedName>
    <definedName name="Balx_NbLignes" localSheetId="19">[20]BALANCEAUX!#REF!</definedName>
    <definedName name="Balx_NbLignes">[22]BALANCEAUX!#REF!</definedName>
    <definedName name="Balx_NomGroupeAnalyse" localSheetId="9">[20]BALANCEAUX!$B$3</definedName>
    <definedName name="Balx_NomGroupeAnalyse" localSheetId="19">[20]BALANCEAUX!$B$3</definedName>
    <definedName name="Balx_NomGroupeAnalyse">[21]BALANCEAUX!$B$3</definedName>
    <definedName name="Balx_TypeEcriture" localSheetId="9">[20]BALANCEAUX!$A$3</definedName>
    <definedName name="Balx_TypeEcriture" localSheetId="19">[20]BALANCEAUX!$A$3</definedName>
    <definedName name="Balx_TypeEcriture">[21]BALANCEAUX!$A$3</definedName>
    <definedName name="_xlnm.Database" localSheetId="31">#REF!</definedName>
    <definedName name="_xlnm.Database" localSheetId="42">#REF!</definedName>
    <definedName name="_xlnm.Database" localSheetId="30">#REF!</definedName>
    <definedName name="_xlnm.Database" localSheetId="32">#REF!</definedName>
    <definedName name="_xlnm.Database" localSheetId="43">#REF!</definedName>
    <definedName name="_xlnm.Database" localSheetId="5">#REF!</definedName>
    <definedName name="_xlnm.Database" localSheetId="26">#REF!</definedName>
    <definedName name="_xlnm.Database" localSheetId="9">#REF!</definedName>
    <definedName name="_xlnm.Database" localSheetId="19">#REF!</definedName>
    <definedName name="_xlnm.Database">#REF!</definedName>
    <definedName name="BaseOilA" localSheetId="31">#REF!</definedName>
    <definedName name="BaseOilA" localSheetId="42">#REF!</definedName>
    <definedName name="BaseOilA" localSheetId="30">#REF!</definedName>
    <definedName name="BaseOilA" localSheetId="32">#REF!</definedName>
    <definedName name="BaseOilA" localSheetId="43">#REF!</definedName>
    <definedName name="BaseOilA" localSheetId="5">#REF!</definedName>
    <definedName name="BaseOilA" localSheetId="26">#REF!</definedName>
    <definedName name="BaseOilA" localSheetId="9">#REF!</definedName>
    <definedName name="BaseOilA" localSheetId="19">#REF!</definedName>
    <definedName name="BaseOilA">#REF!</definedName>
    <definedName name="BaseOilB" localSheetId="31">#REF!</definedName>
    <definedName name="BaseOilB" localSheetId="42">#REF!</definedName>
    <definedName name="BaseOilB" localSheetId="30">#REF!</definedName>
    <definedName name="BaseOilB" localSheetId="32">#REF!</definedName>
    <definedName name="BaseOilB" localSheetId="43">#REF!</definedName>
    <definedName name="BaseOilB" localSheetId="5">#REF!</definedName>
    <definedName name="BaseOilB" localSheetId="26">#REF!</definedName>
    <definedName name="BaseOilB" localSheetId="9">#REF!</definedName>
    <definedName name="BaseOilB" localSheetId="19">#REF!</definedName>
    <definedName name="BaseOilB">#REF!</definedName>
    <definedName name="BaseOilC" localSheetId="31">#REF!</definedName>
    <definedName name="BaseOilC" localSheetId="42">#REF!</definedName>
    <definedName name="BaseOilC" localSheetId="30">#REF!</definedName>
    <definedName name="BaseOilC" localSheetId="32">#REF!</definedName>
    <definedName name="BaseOilC" localSheetId="43">#REF!</definedName>
    <definedName name="BaseOilC" localSheetId="5">#REF!</definedName>
    <definedName name="BaseOilC" localSheetId="26">#REF!</definedName>
    <definedName name="BaseOilC" localSheetId="9">#REF!</definedName>
    <definedName name="BaseOilC" localSheetId="19">#REF!</definedName>
    <definedName name="BaseOilC">#REF!</definedName>
    <definedName name="BaseOilP" localSheetId="31">#REF!</definedName>
    <definedName name="BaseOilP" localSheetId="42">#REF!</definedName>
    <definedName name="BaseOilP" localSheetId="30">#REF!</definedName>
    <definedName name="BaseOilP" localSheetId="32">#REF!</definedName>
    <definedName name="BaseOilP" localSheetId="43">#REF!</definedName>
    <definedName name="BaseOilP" localSheetId="5">#REF!</definedName>
    <definedName name="BaseOilP" localSheetId="26">#REF!</definedName>
    <definedName name="BaseOilP" localSheetId="9">#REF!</definedName>
    <definedName name="BaseOilP" localSheetId="19">#REF!</definedName>
    <definedName name="BaseOilP">#REF!</definedName>
    <definedName name="BaseOilR" localSheetId="31">#REF!</definedName>
    <definedName name="BaseOilR" localSheetId="42">#REF!</definedName>
    <definedName name="BaseOilR" localSheetId="30">#REF!</definedName>
    <definedName name="BaseOilR" localSheetId="32">#REF!</definedName>
    <definedName name="BaseOilR" localSheetId="43">#REF!</definedName>
    <definedName name="BaseOilR" localSheetId="5">#REF!</definedName>
    <definedName name="BaseOilR" localSheetId="26">#REF!</definedName>
    <definedName name="BaseOilR" localSheetId="9">#REF!</definedName>
    <definedName name="BaseOilR" localSheetId="19">#REF!</definedName>
    <definedName name="BaseOilR">#REF!</definedName>
    <definedName name="basic_level">#REF!</definedName>
    <definedName name="BazFormülSatırı_SabitGenel" localSheetId="31">#REF!</definedName>
    <definedName name="BazFormülSatırı_SabitGenel" localSheetId="42">#REF!</definedName>
    <definedName name="BazFormülSatırı_SabitGenel" localSheetId="30">#REF!</definedName>
    <definedName name="BazFormülSatırı_SabitGenel" localSheetId="32">#REF!</definedName>
    <definedName name="BazFormülSatırı_SabitGenel" localSheetId="43">#REF!</definedName>
    <definedName name="BazFormülSatırı_SabitGenel" localSheetId="5">#REF!</definedName>
    <definedName name="BazFormülSatırı_SabitGenel" localSheetId="26">#REF!</definedName>
    <definedName name="BazFormülSatırı_SabitGenel" localSheetId="9">#REF!</definedName>
    <definedName name="BazFormülSatırı_SabitGenel" localSheetId="19">#REF!</definedName>
    <definedName name="BazFormülSatırı_SabitGenel">#REF!</definedName>
    <definedName name="BazFormülSatırı_Toplam" localSheetId="31">[23]YATIRIMLAR!#REF!</definedName>
    <definedName name="BazFormülSatırı_Toplam" localSheetId="42">[23]YATIRIMLAR!#REF!</definedName>
    <definedName name="BazFormülSatırı_Toplam" localSheetId="30">[23]YATIRIMLAR!#REF!</definedName>
    <definedName name="BazFormülSatırı_Toplam" localSheetId="32">[23]YATIRIMLAR!#REF!</definedName>
    <definedName name="BazFormülSatırı_Toplam" localSheetId="43">[23]YATIRIMLAR!#REF!</definedName>
    <definedName name="BazFormülSatırı_Toplam" localSheetId="5">[23]YATIRIMLAR!#REF!</definedName>
    <definedName name="BazFormülSatırı_Toplam" localSheetId="26">[24]YATIRIMLAR!#REF!</definedName>
    <definedName name="BazFormülSatırı_Toplam" localSheetId="9">[23]YATIRIMLAR!#REF!</definedName>
    <definedName name="BazFormülSatırı_Toplam" localSheetId="19">[23]YATIRIMLAR!#REF!</definedName>
    <definedName name="BazFormülSatırı_Toplam">[23]YATIRIMLAR!#REF!</definedName>
    <definedName name="bed_2" localSheetId="31">#REF!</definedName>
    <definedName name="bed_2" localSheetId="30">#REF!</definedName>
    <definedName name="bed_2" localSheetId="32">#REF!</definedName>
    <definedName name="bed_2">#REF!</definedName>
    <definedName name="bedeutsam" localSheetId="31">#REF!</definedName>
    <definedName name="bedeutsam" localSheetId="30">#REF!</definedName>
    <definedName name="bedeutsam" localSheetId="32">#REF!</definedName>
    <definedName name="bedeutsam">#REF!</definedName>
    <definedName name="BEURS">'[25](H) DATASHEET'!$A$21:$A$23</definedName>
    <definedName name="BEURS2">'[25](H) DATASHEET'!$A$32:$A$34</definedName>
    <definedName name="BEURS3">'[25](H) DATASHEET'!$A$37:$A$39</definedName>
    <definedName name="BG_Del" hidden="1">15</definedName>
    <definedName name="BG_Ins" hidden="1">4</definedName>
    <definedName name="BG_Mod" hidden="1">6</definedName>
    <definedName name="BIL_1" localSheetId="9">[26]BILAN!$P$3:$P$28,[26]BILAN!$G$3:$G$60</definedName>
    <definedName name="BIL_1" localSheetId="19">[26]BILAN!$P$3:$P$28,[26]BILAN!$G$3:$G$60</definedName>
    <definedName name="BIL_1">'[27]BILAN GROUPE Y COMPRIS 4'!$P$3:$P$62,'[27]BILAN GROUPE Y COMPRIS 4'!$G$3:$G$63</definedName>
    <definedName name="BIL_2" localSheetId="9">[26]BILAN!$Q$3:$Q$28,[26]BILAN!$H$3:$H$60</definedName>
    <definedName name="BIL_2" localSheetId="19">[26]BILAN!$Q$3:$Q$28,[26]BILAN!$H$3:$H$60</definedName>
    <definedName name="BIL_2">'[27]BILAN GROUPE Y COMPRIS 4'!$Q$3:$Q$62,'[27]BILAN GROUPE Y COMPRIS 4'!$H$3:$H$63</definedName>
    <definedName name="bilan" localSheetId="31">'4.2 Domestic market stratif'!bilan</definedName>
    <definedName name="bilan" localSheetId="30">'4.2 Export market stratif '!bilan</definedName>
    <definedName name="bilan" localSheetId="32">'4.3 Domestic product strati'!bilan</definedName>
    <definedName name="bilan" localSheetId="7">#N/A</definedName>
    <definedName name="bilan" localSheetId="20">'Q1''23 CONSO vs BP Q1''22'!bilan</definedName>
    <definedName name="bilan" localSheetId="21">'Q1''23 SNA vs BP Q1''22'!bilan</definedName>
    <definedName name="bilan" localSheetId="23">'Q1''23 SND vs BP Q1''22'!bilan</definedName>
    <definedName name="bilan" localSheetId="11">'YTD Q1''23 Cons. vs Q1''22'!bilan</definedName>
    <definedName name="bilan" localSheetId="13">'YTD Sep Cons. vs PY V2'!bilan</definedName>
    <definedName name="bilan" localSheetId="22">'YTD Sep SND vs PY'!bilan</definedName>
    <definedName name="bilan">[0]!bilan</definedName>
    <definedName name="Birinci_Yatırım" localSheetId="31">[23]YATIRIMLAR!#REF!</definedName>
    <definedName name="Birinci_Yatırım" localSheetId="42">[23]YATIRIMLAR!#REF!</definedName>
    <definedName name="Birinci_Yatırım" localSheetId="30">[23]YATIRIMLAR!#REF!</definedName>
    <definedName name="Birinci_Yatırım" localSheetId="32">[23]YATIRIMLAR!#REF!</definedName>
    <definedName name="Birinci_Yatırım" localSheetId="43">[23]YATIRIMLAR!#REF!</definedName>
    <definedName name="Birinci_Yatırım" localSheetId="5">[23]YATIRIMLAR!#REF!</definedName>
    <definedName name="Birinci_Yatırım" localSheetId="26">[24]YATIRIMLAR!#REF!</definedName>
    <definedName name="Birinci_Yatırım" localSheetId="9">[23]YATIRIMLAR!#REF!</definedName>
    <definedName name="Birinci_Yatırım" localSheetId="19">[23]YATIRIMLAR!#REF!</definedName>
    <definedName name="Birinci_Yatırım">[23]YATIRIMLAR!#REF!</definedName>
    <definedName name="BLPH1" localSheetId="31" hidden="1">#REF!</definedName>
    <definedName name="BLPH1" localSheetId="42" hidden="1">#REF!</definedName>
    <definedName name="BLPH1" localSheetId="30" hidden="1">#REF!</definedName>
    <definedName name="BLPH1" localSheetId="32" hidden="1">#REF!</definedName>
    <definedName name="BLPH1" localSheetId="43" hidden="1">#REF!</definedName>
    <definedName name="BLPH1" localSheetId="5" hidden="1">#REF!</definedName>
    <definedName name="BLPH1" localSheetId="26" hidden="1">#REF!</definedName>
    <definedName name="BLPH1" localSheetId="9" hidden="1">#REF!</definedName>
    <definedName name="BLPH1" localSheetId="19" hidden="1">#REF!</definedName>
    <definedName name="BLPH1" hidden="1">#REF!</definedName>
    <definedName name="BLPH10" localSheetId="31" hidden="1">#REF!</definedName>
    <definedName name="BLPH10" localSheetId="42" hidden="1">#REF!</definedName>
    <definedName name="BLPH10" localSheetId="30" hidden="1">#REF!</definedName>
    <definedName name="BLPH10" localSheetId="32" hidden="1">#REF!</definedName>
    <definedName name="BLPH10" localSheetId="43" hidden="1">#REF!</definedName>
    <definedName name="BLPH10" localSheetId="5" hidden="1">#REF!</definedName>
    <definedName name="BLPH10" localSheetId="26" hidden="1">#REF!</definedName>
    <definedName name="BLPH10" localSheetId="9" hidden="1">#REF!</definedName>
    <definedName name="BLPH10" localSheetId="19" hidden="1">#REF!</definedName>
    <definedName name="BLPH10" hidden="1">#REF!</definedName>
    <definedName name="BLPH11" localSheetId="31" hidden="1">#REF!</definedName>
    <definedName name="BLPH11" localSheetId="42" hidden="1">#REF!</definedName>
    <definedName name="BLPH11" localSheetId="30" hidden="1">#REF!</definedName>
    <definedName name="BLPH11" localSheetId="32" hidden="1">#REF!</definedName>
    <definedName name="BLPH11" localSheetId="43" hidden="1">#REF!</definedName>
    <definedName name="BLPH11" localSheetId="5" hidden="1">#REF!</definedName>
    <definedName name="BLPH11" localSheetId="26" hidden="1">#REF!</definedName>
    <definedName name="BLPH11" localSheetId="9" hidden="1">#REF!</definedName>
    <definedName name="BLPH11" localSheetId="19" hidden="1">#REF!</definedName>
    <definedName name="BLPH11" hidden="1">#REF!</definedName>
    <definedName name="BLPH12" localSheetId="31" hidden="1">#REF!</definedName>
    <definedName name="BLPH12" localSheetId="42" hidden="1">#REF!</definedName>
    <definedName name="BLPH12" localSheetId="30" hidden="1">#REF!</definedName>
    <definedName name="BLPH12" localSheetId="32" hidden="1">#REF!</definedName>
    <definedName name="BLPH12" localSheetId="43" hidden="1">#REF!</definedName>
    <definedName name="BLPH12" localSheetId="5" hidden="1">#REF!</definedName>
    <definedName name="BLPH12" localSheetId="26" hidden="1">#REF!</definedName>
    <definedName name="BLPH12" localSheetId="9" hidden="1">#REF!</definedName>
    <definedName name="BLPH12" localSheetId="19" hidden="1">#REF!</definedName>
    <definedName name="BLPH12" hidden="1">#REF!</definedName>
    <definedName name="BLPH13" localSheetId="31" hidden="1">#REF!</definedName>
    <definedName name="BLPH13" localSheetId="42" hidden="1">#REF!</definedName>
    <definedName name="BLPH13" localSheetId="30" hidden="1">#REF!</definedName>
    <definedName name="BLPH13" localSheetId="32" hidden="1">#REF!</definedName>
    <definedName name="BLPH13" localSheetId="43" hidden="1">#REF!</definedName>
    <definedName name="BLPH13" localSheetId="5" hidden="1">#REF!</definedName>
    <definedName name="BLPH13" localSheetId="26" hidden="1">#REF!</definedName>
    <definedName name="BLPH13" localSheetId="9" hidden="1">#REF!</definedName>
    <definedName name="BLPH13" localSheetId="19" hidden="1">#REF!</definedName>
    <definedName name="BLPH13" hidden="1">#REF!</definedName>
    <definedName name="BLPH14" localSheetId="31" hidden="1">#REF!</definedName>
    <definedName name="BLPH14" localSheetId="42" hidden="1">#REF!</definedName>
    <definedName name="BLPH14" localSheetId="30" hidden="1">#REF!</definedName>
    <definedName name="BLPH14" localSheetId="32" hidden="1">#REF!</definedName>
    <definedName name="BLPH14" localSheetId="43" hidden="1">#REF!</definedName>
    <definedName name="BLPH14" localSheetId="5" hidden="1">#REF!</definedName>
    <definedName name="BLPH14" localSheetId="26" hidden="1">#REF!</definedName>
    <definedName name="BLPH14" localSheetId="9" hidden="1">#REF!</definedName>
    <definedName name="BLPH14" localSheetId="19" hidden="1">#REF!</definedName>
    <definedName name="BLPH14" hidden="1">#REF!</definedName>
    <definedName name="BLPH15" localSheetId="31" hidden="1">#REF!</definedName>
    <definedName name="BLPH15" localSheetId="42" hidden="1">#REF!</definedName>
    <definedName name="BLPH15" localSheetId="30" hidden="1">#REF!</definedName>
    <definedName name="BLPH15" localSheetId="32" hidden="1">#REF!</definedName>
    <definedName name="BLPH15" localSheetId="43" hidden="1">#REF!</definedName>
    <definedName name="BLPH15" localSheetId="5" hidden="1">#REF!</definedName>
    <definedName name="BLPH15" localSheetId="26" hidden="1">#REF!</definedName>
    <definedName name="BLPH15" localSheetId="9" hidden="1">#REF!</definedName>
    <definedName name="BLPH15" localSheetId="19" hidden="1">#REF!</definedName>
    <definedName name="BLPH15" hidden="1">#REF!</definedName>
    <definedName name="BLPH16" localSheetId="31" hidden="1">#REF!</definedName>
    <definedName name="BLPH16" localSheetId="42" hidden="1">#REF!</definedName>
    <definedName name="BLPH16" localSheetId="30" hidden="1">#REF!</definedName>
    <definedName name="BLPH16" localSheetId="32" hidden="1">#REF!</definedName>
    <definedName name="BLPH16" localSheetId="43" hidden="1">#REF!</definedName>
    <definedName name="BLPH16" localSheetId="5" hidden="1">#REF!</definedName>
    <definedName name="BLPH16" localSheetId="26" hidden="1">#REF!</definedName>
    <definedName name="BLPH16" localSheetId="9" hidden="1">#REF!</definedName>
    <definedName name="BLPH16" localSheetId="19" hidden="1">#REF!</definedName>
    <definedName name="BLPH16" hidden="1">#REF!</definedName>
    <definedName name="BLPH17" localSheetId="31" hidden="1">#REF!</definedName>
    <definedName name="BLPH17" localSheetId="42" hidden="1">#REF!</definedName>
    <definedName name="BLPH17" localSheetId="30" hidden="1">#REF!</definedName>
    <definedName name="BLPH17" localSheetId="32" hidden="1">#REF!</definedName>
    <definedName name="BLPH17" localSheetId="43" hidden="1">#REF!</definedName>
    <definedName name="BLPH17" localSheetId="5" hidden="1">#REF!</definedName>
    <definedName name="BLPH17" localSheetId="26" hidden="1">#REF!</definedName>
    <definedName name="BLPH17" localSheetId="9" hidden="1">#REF!</definedName>
    <definedName name="BLPH17" localSheetId="19" hidden="1">#REF!</definedName>
    <definedName name="BLPH17" hidden="1">#REF!</definedName>
    <definedName name="BLPH18" localSheetId="31" hidden="1">#REF!</definedName>
    <definedName name="BLPH18" localSheetId="42" hidden="1">#REF!</definedName>
    <definedName name="BLPH18" localSheetId="30" hidden="1">#REF!</definedName>
    <definedName name="BLPH18" localSheetId="32" hidden="1">#REF!</definedName>
    <definedName name="BLPH18" localSheetId="43" hidden="1">#REF!</definedName>
    <definedName name="BLPH18" localSheetId="5" hidden="1">#REF!</definedName>
    <definedName name="BLPH18" localSheetId="26" hidden="1">#REF!</definedName>
    <definedName name="BLPH18" localSheetId="9" hidden="1">#REF!</definedName>
    <definedName name="BLPH18" localSheetId="19" hidden="1">#REF!</definedName>
    <definedName name="BLPH18" hidden="1">#REF!</definedName>
    <definedName name="BLPH19" localSheetId="31" hidden="1">#REF!</definedName>
    <definedName name="BLPH19" localSheetId="42" hidden="1">#REF!</definedName>
    <definedName name="BLPH19" localSheetId="30" hidden="1">#REF!</definedName>
    <definedName name="BLPH19" localSheetId="32" hidden="1">#REF!</definedName>
    <definedName name="BLPH19" localSheetId="43" hidden="1">#REF!</definedName>
    <definedName name="BLPH19" localSheetId="5" hidden="1">#REF!</definedName>
    <definedName name="BLPH19" localSheetId="26" hidden="1">#REF!</definedName>
    <definedName name="BLPH19" localSheetId="9" hidden="1">#REF!</definedName>
    <definedName name="BLPH19" localSheetId="19" hidden="1">#REF!</definedName>
    <definedName name="BLPH19" hidden="1">#REF!</definedName>
    <definedName name="BLPH2" localSheetId="31" hidden="1">#REF!</definedName>
    <definedName name="BLPH2" localSheetId="42" hidden="1">#REF!</definedName>
    <definedName name="BLPH2" localSheetId="30" hidden="1">#REF!</definedName>
    <definedName name="BLPH2" localSheetId="32" hidden="1">#REF!</definedName>
    <definedName name="BLPH2" localSheetId="43" hidden="1">#REF!</definedName>
    <definedName name="BLPH2" localSheetId="5" hidden="1">#REF!</definedName>
    <definedName name="BLPH2" localSheetId="26" hidden="1">#REF!</definedName>
    <definedName name="BLPH2" localSheetId="9" hidden="1">#REF!</definedName>
    <definedName name="BLPH2" localSheetId="19" hidden="1">#REF!</definedName>
    <definedName name="BLPH2" hidden="1">#REF!</definedName>
    <definedName name="BLPH20" localSheetId="31" hidden="1">#REF!</definedName>
    <definedName name="BLPH20" localSheetId="42" hidden="1">#REF!</definedName>
    <definedName name="BLPH20" localSheetId="30" hidden="1">#REF!</definedName>
    <definedName name="BLPH20" localSheetId="32" hidden="1">#REF!</definedName>
    <definedName name="BLPH20" localSheetId="43" hidden="1">#REF!</definedName>
    <definedName name="BLPH20" localSheetId="5" hidden="1">#REF!</definedName>
    <definedName name="BLPH20" localSheetId="26" hidden="1">#REF!</definedName>
    <definedName name="BLPH20" localSheetId="9" hidden="1">#REF!</definedName>
    <definedName name="BLPH20" localSheetId="19" hidden="1">#REF!</definedName>
    <definedName name="BLPH20" hidden="1">#REF!</definedName>
    <definedName name="BLPH21" localSheetId="31" hidden="1">#REF!</definedName>
    <definedName name="BLPH21" localSheetId="42" hidden="1">#REF!</definedName>
    <definedName name="BLPH21" localSheetId="30" hidden="1">#REF!</definedName>
    <definedName name="BLPH21" localSheetId="32" hidden="1">#REF!</definedName>
    <definedName name="BLPH21" localSheetId="43" hidden="1">#REF!</definedName>
    <definedName name="BLPH21" localSheetId="5" hidden="1">#REF!</definedName>
    <definedName name="BLPH21" localSheetId="26" hidden="1">#REF!</definedName>
    <definedName name="BLPH21" localSheetId="9" hidden="1">#REF!</definedName>
    <definedName name="BLPH21" localSheetId="19" hidden="1">#REF!</definedName>
    <definedName name="BLPH21" hidden="1">#REF!</definedName>
    <definedName name="BLPH22" localSheetId="31" hidden="1">#REF!</definedName>
    <definedName name="BLPH22" localSheetId="42" hidden="1">#REF!</definedName>
    <definedName name="BLPH22" localSheetId="30" hidden="1">#REF!</definedName>
    <definedName name="BLPH22" localSheetId="32" hidden="1">#REF!</definedName>
    <definedName name="BLPH22" localSheetId="43" hidden="1">#REF!</definedName>
    <definedName name="BLPH22" localSheetId="5" hidden="1">#REF!</definedName>
    <definedName name="BLPH22" localSheetId="26" hidden="1">#REF!</definedName>
    <definedName name="BLPH22" localSheetId="9" hidden="1">#REF!</definedName>
    <definedName name="BLPH22" localSheetId="19" hidden="1">#REF!</definedName>
    <definedName name="BLPH22" hidden="1">#REF!</definedName>
    <definedName name="BLPH23" localSheetId="31" hidden="1">#REF!</definedName>
    <definedName name="BLPH23" localSheetId="42" hidden="1">#REF!</definedName>
    <definedName name="BLPH23" localSheetId="30" hidden="1">#REF!</definedName>
    <definedName name="BLPH23" localSheetId="32" hidden="1">#REF!</definedName>
    <definedName name="BLPH23" localSheetId="43" hidden="1">#REF!</definedName>
    <definedName name="BLPH23" localSheetId="5" hidden="1">#REF!</definedName>
    <definedName name="BLPH23" localSheetId="26" hidden="1">#REF!</definedName>
    <definedName name="BLPH23" localSheetId="9" hidden="1">#REF!</definedName>
    <definedName name="BLPH23" localSheetId="19" hidden="1">#REF!</definedName>
    <definedName name="BLPH23" hidden="1">#REF!</definedName>
    <definedName name="BLPH24" localSheetId="31" hidden="1">#REF!</definedName>
    <definedName name="BLPH24" localSheetId="42" hidden="1">#REF!</definedName>
    <definedName name="BLPH24" localSheetId="30" hidden="1">#REF!</definedName>
    <definedName name="BLPH24" localSheetId="32" hidden="1">#REF!</definedName>
    <definedName name="BLPH24" localSheetId="43" hidden="1">#REF!</definedName>
    <definedName name="BLPH24" localSheetId="5" hidden="1">#REF!</definedName>
    <definedName name="BLPH24" localSheetId="26" hidden="1">#REF!</definedName>
    <definedName name="BLPH24" localSheetId="9" hidden="1">#REF!</definedName>
    <definedName name="BLPH24" localSheetId="19" hidden="1">#REF!</definedName>
    <definedName name="BLPH24" hidden="1">#REF!</definedName>
    <definedName name="BLPH25" localSheetId="31" hidden="1">#REF!</definedName>
    <definedName name="BLPH25" localSheetId="42" hidden="1">#REF!</definedName>
    <definedName name="BLPH25" localSheetId="30" hidden="1">#REF!</definedName>
    <definedName name="BLPH25" localSheetId="32" hidden="1">#REF!</definedName>
    <definedName name="BLPH25" localSheetId="43" hidden="1">#REF!</definedName>
    <definedName name="BLPH25" localSheetId="5" hidden="1">#REF!</definedName>
    <definedName name="BLPH25" localSheetId="26" hidden="1">#REF!</definedName>
    <definedName name="BLPH25" localSheetId="9" hidden="1">#REF!</definedName>
    <definedName name="BLPH25" localSheetId="19" hidden="1">#REF!</definedName>
    <definedName name="BLPH25" hidden="1">#REF!</definedName>
    <definedName name="BLPH26" localSheetId="31" hidden="1">#REF!</definedName>
    <definedName name="BLPH26" localSheetId="42" hidden="1">#REF!</definedName>
    <definedName name="BLPH26" localSheetId="30" hidden="1">#REF!</definedName>
    <definedName name="BLPH26" localSheetId="32" hidden="1">#REF!</definedName>
    <definedName name="BLPH26" localSheetId="43" hidden="1">#REF!</definedName>
    <definedName name="BLPH26" localSheetId="5" hidden="1">#REF!</definedName>
    <definedName name="BLPH26" localSheetId="26" hidden="1">#REF!</definedName>
    <definedName name="BLPH26" localSheetId="9" hidden="1">#REF!</definedName>
    <definedName name="BLPH26" localSheetId="19" hidden="1">#REF!</definedName>
    <definedName name="BLPH26" hidden="1">#REF!</definedName>
    <definedName name="BLPH27" localSheetId="31" hidden="1">#REF!</definedName>
    <definedName name="BLPH27" localSheetId="42" hidden="1">#REF!</definedName>
    <definedName name="BLPH27" localSheetId="30" hidden="1">#REF!</definedName>
    <definedName name="BLPH27" localSheetId="32" hidden="1">#REF!</definedName>
    <definedName name="BLPH27" localSheetId="43" hidden="1">#REF!</definedName>
    <definedName name="BLPH27" localSheetId="5" hidden="1">#REF!</definedName>
    <definedName name="BLPH27" localSheetId="26" hidden="1">#REF!</definedName>
    <definedName name="BLPH27" localSheetId="9" hidden="1">#REF!</definedName>
    <definedName name="BLPH27" localSheetId="19" hidden="1">#REF!</definedName>
    <definedName name="BLPH27" hidden="1">#REF!</definedName>
    <definedName name="BLPH28" localSheetId="31" hidden="1">#REF!</definedName>
    <definedName name="BLPH28" localSheetId="42" hidden="1">#REF!</definedName>
    <definedName name="BLPH28" localSheetId="30" hidden="1">#REF!</definedName>
    <definedName name="BLPH28" localSheetId="32" hidden="1">#REF!</definedName>
    <definedName name="BLPH28" localSheetId="43" hidden="1">#REF!</definedName>
    <definedName name="BLPH28" localSheetId="5" hidden="1">#REF!</definedName>
    <definedName name="BLPH28" localSheetId="26" hidden="1">#REF!</definedName>
    <definedName name="BLPH28" localSheetId="9" hidden="1">#REF!</definedName>
    <definedName name="BLPH28" localSheetId="19" hidden="1">#REF!</definedName>
    <definedName name="BLPH28" hidden="1">#REF!</definedName>
    <definedName name="BLPH29" localSheetId="31" hidden="1">#REF!</definedName>
    <definedName name="BLPH29" localSheetId="42" hidden="1">#REF!</definedName>
    <definedName name="BLPH29" localSheetId="30" hidden="1">#REF!</definedName>
    <definedName name="BLPH29" localSheetId="32" hidden="1">#REF!</definedName>
    <definedName name="BLPH29" localSheetId="43" hidden="1">#REF!</definedName>
    <definedName name="BLPH29" localSheetId="5" hidden="1">#REF!</definedName>
    <definedName name="BLPH29" localSheetId="26" hidden="1">#REF!</definedName>
    <definedName name="BLPH29" localSheetId="9" hidden="1">#REF!</definedName>
    <definedName name="BLPH29" localSheetId="19" hidden="1">#REF!</definedName>
    <definedName name="BLPH29" hidden="1">#REF!</definedName>
    <definedName name="BLPH3" localSheetId="31" hidden="1">#REF!</definedName>
    <definedName name="BLPH3" localSheetId="42" hidden="1">#REF!</definedName>
    <definedName name="BLPH3" localSheetId="30" hidden="1">#REF!</definedName>
    <definedName name="BLPH3" localSheetId="32" hidden="1">#REF!</definedName>
    <definedName name="BLPH3" localSheetId="43" hidden="1">#REF!</definedName>
    <definedName name="BLPH3" localSheetId="5" hidden="1">#REF!</definedName>
    <definedName name="BLPH3" localSheetId="26" hidden="1">#REF!</definedName>
    <definedName name="BLPH3" localSheetId="9" hidden="1">#REF!</definedName>
    <definedName name="BLPH3" localSheetId="19" hidden="1">#REF!</definedName>
    <definedName name="BLPH3" hidden="1">#REF!</definedName>
    <definedName name="BLPH30" localSheetId="31" hidden="1">#REF!</definedName>
    <definedName name="BLPH30" localSheetId="42" hidden="1">#REF!</definedName>
    <definedName name="BLPH30" localSheetId="30" hidden="1">#REF!</definedName>
    <definedName name="BLPH30" localSheetId="32" hidden="1">#REF!</definedName>
    <definedName name="BLPH30" localSheetId="43" hidden="1">#REF!</definedName>
    <definedName name="BLPH30" localSheetId="5" hidden="1">#REF!</definedName>
    <definedName name="BLPH30" localSheetId="26" hidden="1">#REF!</definedName>
    <definedName name="BLPH30" localSheetId="9" hidden="1">#REF!</definedName>
    <definedName name="BLPH30" localSheetId="19" hidden="1">#REF!</definedName>
    <definedName name="BLPH30" hidden="1">#REF!</definedName>
    <definedName name="BLPH31" localSheetId="31" hidden="1">#REF!</definedName>
    <definedName name="BLPH31" localSheetId="42" hidden="1">#REF!</definedName>
    <definedName name="BLPH31" localSheetId="30" hidden="1">#REF!</definedName>
    <definedName name="BLPH31" localSheetId="32" hidden="1">#REF!</definedName>
    <definedName name="BLPH31" localSheetId="43" hidden="1">#REF!</definedName>
    <definedName name="BLPH31" localSheetId="5" hidden="1">#REF!</definedName>
    <definedName name="BLPH31" localSheetId="26" hidden="1">#REF!</definedName>
    <definedName name="BLPH31" localSheetId="9" hidden="1">#REF!</definedName>
    <definedName name="BLPH31" localSheetId="19" hidden="1">#REF!</definedName>
    <definedName name="BLPH31" hidden="1">#REF!</definedName>
    <definedName name="BLPH32" localSheetId="31" hidden="1">#REF!</definedName>
    <definedName name="BLPH32" localSheetId="42" hidden="1">#REF!</definedName>
    <definedName name="BLPH32" localSheetId="30" hidden="1">#REF!</definedName>
    <definedName name="BLPH32" localSheetId="32" hidden="1">#REF!</definedName>
    <definedName name="BLPH32" localSheetId="43" hidden="1">#REF!</definedName>
    <definedName name="BLPH32" localSheetId="5" hidden="1">#REF!</definedName>
    <definedName name="BLPH32" localSheetId="26" hidden="1">#REF!</definedName>
    <definedName name="BLPH32" localSheetId="9" hidden="1">#REF!</definedName>
    <definedName name="BLPH32" localSheetId="19" hidden="1">#REF!</definedName>
    <definedName name="BLPH32" hidden="1">#REF!</definedName>
    <definedName name="BLPH33" localSheetId="31" hidden="1">#REF!</definedName>
    <definedName name="BLPH33" localSheetId="42" hidden="1">#REF!</definedName>
    <definedName name="BLPH33" localSheetId="30" hidden="1">#REF!</definedName>
    <definedName name="BLPH33" localSheetId="32" hidden="1">#REF!</definedName>
    <definedName name="BLPH33" localSheetId="43" hidden="1">#REF!</definedName>
    <definedName name="BLPH33" localSheetId="5" hidden="1">#REF!</definedName>
    <definedName name="BLPH33" localSheetId="26" hidden="1">#REF!</definedName>
    <definedName name="BLPH33" localSheetId="9" hidden="1">#REF!</definedName>
    <definedName name="BLPH33" localSheetId="19" hidden="1">#REF!</definedName>
    <definedName name="BLPH33" hidden="1">#REF!</definedName>
    <definedName name="BLPH34" localSheetId="31" hidden="1">#REF!</definedName>
    <definedName name="BLPH34" localSheetId="42" hidden="1">#REF!</definedName>
    <definedName name="BLPH34" localSheetId="30" hidden="1">#REF!</definedName>
    <definedName name="BLPH34" localSheetId="32" hidden="1">#REF!</definedName>
    <definedName name="BLPH34" localSheetId="43" hidden="1">#REF!</definedName>
    <definedName name="BLPH34" localSheetId="5" hidden="1">#REF!</definedName>
    <definedName name="BLPH34" localSheetId="26" hidden="1">#REF!</definedName>
    <definedName name="BLPH34" localSheetId="9" hidden="1">#REF!</definedName>
    <definedName name="BLPH34" localSheetId="19" hidden="1">#REF!</definedName>
    <definedName name="BLPH34" hidden="1">#REF!</definedName>
    <definedName name="BLPH35" localSheetId="31" hidden="1">#REF!</definedName>
    <definedName name="BLPH35" localSheetId="42" hidden="1">#REF!</definedName>
    <definedName name="BLPH35" localSheetId="30" hidden="1">#REF!</definedName>
    <definedName name="BLPH35" localSheetId="32" hidden="1">#REF!</definedName>
    <definedName name="BLPH35" localSheetId="43" hidden="1">#REF!</definedName>
    <definedName name="BLPH35" localSheetId="5" hidden="1">#REF!</definedName>
    <definedName name="BLPH35" localSheetId="26" hidden="1">#REF!</definedName>
    <definedName name="BLPH35" localSheetId="9" hidden="1">#REF!</definedName>
    <definedName name="BLPH35" localSheetId="19" hidden="1">#REF!</definedName>
    <definedName name="BLPH35" hidden="1">#REF!</definedName>
    <definedName name="BLPH36" localSheetId="31" hidden="1">#REF!</definedName>
    <definedName name="BLPH36" localSheetId="42" hidden="1">#REF!</definedName>
    <definedName name="BLPH36" localSheetId="30" hidden="1">#REF!</definedName>
    <definedName name="BLPH36" localSheetId="32" hidden="1">#REF!</definedName>
    <definedName name="BLPH36" localSheetId="43" hidden="1">#REF!</definedName>
    <definedName name="BLPH36" localSheetId="5" hidden="1">#REF!</definedName>
    <definedName name="BLPH36" localSheetId="26" hidden="1">#REF!</definedName>
    <definedName name="BLPH36" localSheetId="9" hidden="1">#REF!</definedName>
    <definedName name="BLPH36" localSheetId="19" hidden="1">#REF!</definedName>
    <definedName name="BLPH36" hidden="1">#REF!</definedName>
    <definedName name="BLPH37" localSheetId="31" hidden="1">#REF!</definedName>
    <definedName name="BLPH37" localSheetId="42" hidden="1">#REF!</definedName>
    <definedName name="BLPH37" localSheetId="30" hidden="1">#REF!</definedName>
    <definedName name="BLPH37" localSheetId="32" hidden="1">#REF!</definedName>
    <definedName name="BLPH37" localSheetId="43" hidden="1">#REF!</definedName>
    <definedName name="BLPH37" localSheetId="5" hidden="1">#REF!</definedName>
    <definedName name="BLPH37" localSheetId="26" hidden="1">#REF!</definedName>
    <definedName name="BLPH37" localSheetId="9" hidden="1">#REF!</definedName>
    <definedName name="BLPH37" localSheetId="19" hidden="1">#REF!</definedName>
    <definedName name="BLPH37" hidden="1">#REF!</definedName>
    <definedName name="BLPH38" localSheetId="31" hidden="1">#REF!</definedName>
    <definedName name="BLPH38" localSheetId="42" hidden="1">#REF!</definedName>
    <definedName name="BLPH38" localSheetId="30" hidden="1">#REF!</definedName>
    <definedName name="BLPH38" localSheetId="32" hidden="1">#REF!</definedName>
    <definedName name="BLPH38" localSheetId="43" hidden="1">#REF!</definedName>
    <definedName name="BLPH38" localSheetId="5" hidden="1">#REF!</definedName>
    <definedName name="BLPH38" localSheetId="26" hidden="1">#REF!</definedName>
    <definedName name="BLPH38" localSheetId="9" hidden="1">#REF!</definedName>
    <definedName name="BLPH38" localSheetId="19" hidden="1">#REF!</definedName>
    <definedName name="BLPH38" hidden="1">#REF!</definedName>
    <definedName name="BLPH39" localSheetId="31" hidden="1">#REF!</definedName>
    <definedName name="BLPH39" localSheetId="42" hidden="1">#REF!</definedName>
    <definedName name="BLPH39" localSheetId="30" hidden="1">#REF!</definedName>
    <definedName name="BLPH39" localSheetId="32" hidden="1">#REF!</definedName>
    <definedName name="BLPH39" localSheetId="43" hidden="1">#REF!</definedName>
    <definedName name="BLPH39" localSheetId="5" hidden="1">#REF!</definedName>
    <definedName name="BLPH39" localSheetId="26" hidden="1">#REF!</definedName>
    <definedName name="BLPH39" localSheetId="9" hidden="1">#REF!</definedName>
    <definedName name="BLPH39" localSheetId="19" hidden="1">#REF!</definedName>
    <definedName name="BLPH39" hidden="1">#REF!</definedName>
    <definedName name="BLPH4" localSheetId="31" hidden="1">#REF!</definedName>
    <definedName name="BLPH4" localSheetId="42" hidden="1">#REF!</definedName>
    <definedName name="BLPH4" localSheetId="30" hidden="1">#REF!</definedName>
    <definedName name="BLPH4" localSheetId="32" hidden="1">#REF!</definedName>
    <definedName name="BLPH4" localSheetId="43" hidden="1">#REF!</definedName>
    <definedName name="BLPH4" localSheetId="5" hidden="1">#REF!</definedName>
    <definedName name="BLPH4" localSheetId="26" hidden="1">#REF!</definedName>
    <definedName name="BLPH4" localSheetId="9" hidden="1">#REF!</definedName>
    <definedName name="BLPH4" localSheetId="19" hidden="1">#REF!</definedName>
    <definedName name="BLPH4" hidden="1">#REF!</definedName>
    <definedName name="BLPH40" localSheetId="31" hidden="1">#REF!</definedName>
    <definedName name="BLPH40" localSheetId="42" hidden="1">#REF!</definedName>
    <definedName name="BLPH40" localSheetId="30" hidden="1">#REF!</definedName>
    <definedName name="BLPH40" localSheetId="32" hidden="1">#REF!</definedName>
    <definedName name="BLPH40" localSheetId="43" hidden="1">#REF!</definedName>
    <definedName name="BLPH40" localSheetId="5" hidden="1">#REF!</definedName>
    <definedName name="BLPH40" localSheetId="26" hidden="1">#REF!</definedName>
    <definedName name="BLPH40" localSheetId="9" hidden="1">#REF!</definedName>
    <definedName name="BLPH40" localSheetId="19" hidden="1">#REF!</definedName>
    <definedName name="BLPH40" hidden="1">#REF!</definedName>
    <definedName name="BLPH41" localSheetId="31" hidden="1">#REF!</definedName>
    <definedName name="BLPH41" localSheetId="42" hidden="1">#REF!</definedName>
    <definedName name="BLPH41" localSheetId="30" hidden="1">#REF!</definedName>
    <definedName name="BLPH41" localSheetId="32" hidden="1">#REF!</definedName>
    <definedName name="BLPH41" localSheetId="43" hidden="1">#REF!</definedName>
    <definedName name="BLPH41" localSheetId="5" hidden="1">#REF!</definedName>
    <definedName name="BLPH41" localSheetId="26" hidden="1">#REF!</definedName>
    <definedName name="BLPH41" localSheetId="9" hidden="1">#REF!</definedName>
    <definedName name="BLPH41" localSheetId="19" hidden="1">#REF!</definedName>
    <definedName name="BLPH41" hidden="1">#REF!</definedName>
    <definedName name="BLPH42" localSheetId="31" hidden="1">#REF!</definedName>
    <definedName name="BLPH42" localSheetId="42" hidden="1">#REF!</definedName>
    <definedName name="BLPH42" localSheetId="30" hidden="1">#REF!</definedName>
    <definedName name="BLPH42" localSheetId="32" hidden="1">#REF!</definedName>
    <definedName name="BLPH42" localSheetId="43" hidden="1">#REF!</definedName>
    <definedName name="BLPH42" localSheetId="5" hidden="1">#REF!</definedName>
    <definedName name="BLPH42" localSheetId="26" hidden="1">#REF!</definedName>
    <definedName name="BLPH42" localSheetId="9" hidden="1">#REF!</definedName>
    <definedName name="BLPH42" localSheetId="19" hidden="1">#REF!</definedName>
    <definedName name="BLPH42" hidden="1">#REF!</definedName>
    <definedName name="BLPH43" localSheetId="31" hidden="1">#REF!</definedName>
    <definedName name="BLPH43" localSheetId="42" hidden="1">#REF!</definedName>
    <definedName name="BLPH43" localSheetId="30" hidden="1">#REF!</definedName>
    <definedName name="BLPH43" localSheetId="32" hidden="1">#REF!</definedName>
    <definedName name="BLPH43" localSheetId="43" hidden="1">#REF!</definedName>
    <definedName name="BLPH43" localSheetId="5" hidden="1">#REF!</definedName>
    <definedName name="BLPH43" localSheetId="26" hidden="1">#REF!</definedName>
    <definedName name="BLPH43" localSheetId="9" hidden="1">#REF!</definedName>
    <definedName name="BLPH43" localSheetId="19" hidden="1">#REF!</definedName>
    <definedName name="BLPH43" hidden="1">#REF!</definedName>
    <definedName name="BLPH44" localSheetId="31" hidden="1">#REF!</definedName>
    <definedName name="BLPH44" localSheetId="42" hidden="1">#REF!</definedName>
    <definedName name="BLPH44" localSheetId="30" hidden="1">#REF!</definedName>
    <definedName name="BLPH44" localSheetId="32" hidden="1">#REF!</definedName>
    <definedName name="BLPH44" localSheetId="43" hidden="1">#REF!</definedName>
    <definedName name="BLPH44" localSheetId="5" hidden="1">#REF!</definedName>
    <definedName name="BLPH44" localSheetId="26" hidden="1">#REF!</definedName>
    <definedName name="BLPH44" localSheetId="9" hidden="1">#REF!</definedName>
    <definedName name="BLPH44" localSheetId="19" hidden="1">#REF!</definedName>
    <definedName name="BLPH44" hidden="1">#REF!</definedName>
    <definedName name="BLPH5" localSheetId="31" hidden="1">#REF!</definedName>
    <definedName name="BLPH5" localSheetId="42" hidden="1">#REF!</definedName>
    <definedName name="BLPH5" localSheetId="30" hidden="1">#REF!</definedName>
    <definedName name="BLPH5" localSheetId="32" hidden="1">#REF!</definedName>
    <definedName name="BLPH5" localSheetId="43" hidden="1">#REF!</definedName>
    <definedName name="BLPH5" localSheetId="5" hidden="1">#REF!</definedName>
    <definedName name="BLPH5" localSheetId="26" hidden="1">#REF!</definedName>
    <definedName name="BLPH5" localSheetId="9" hidden="1">#REF!</definedName>
    <definedName name="BLPH5" localSheetId="19" hidden="1">#REF!</definedName>
    <definedName name="BLPH5" hidden="1">#REF!</definedName>
    <definedName name="BLPH6" localSheetId="31" hidden="1">#REF!</definedName>
    <definedName name="BLPH6" localSheetId="42" hidden="1">#REF!</definedName>
    <definedName name="BLPH6" localSheetId="30" hidden="1">#REF!</definedName>
    <definedName name="BLPH6" localSheetId="32" hidden="1">#REF!</definedName>
    <definedName name="BLPH6" localSheetId="43" hidden="1">#REF!</definedName>
    <definedName name="BLPH6" localSheetId="5" hidden="1">#REF!</definedName>
    <definedName name="BLPH6" localSheetId="26" hidden="1">#REF!</definedName>
    <definedName name="BLPH6" localSheetId="9" hidden="1">#REF!</definedName>
    <definedName name="BLPH6" localSheetId="19" hidden="1">#REF!</definedName>
    <definedName name="BLPH6" hidden="1">#REF!</definedName>
    <definedName name="BLPH7" localSheetId="31" hidden="1">#REF!</definedName>
    <definedName name="BLPH7" localSheetId="42" hidden="1">#REF!</definedName>
    <definedName name="BLPH7" localSheetId="30" hidden="1">#REF!</definedName>
    <definedName name="BLPH7" localSheetId="32" hidden="1">#REF!</definedName>
    <definedName name="BLPH7" localSheetId="43" hidden="1">#REF!</definedName>
    <definedName name="BLPH7" localSheetId="5" hidden="1">#REF!</definedName>
    <definedName name="BLPH7" localSheetId="26" hidden="1">#REF!</definedName>
    <definedName name="BLPH7" localSheetId="9" hidden="1">#REF!</definedName>
    <definedName name="BLPH7" localSheetId="19" hidden="1">#REF!</definedName>
    <definedName name="BLPH7" hidden="1">#REF!</definedName>
    <definedName name="BLPH8" localSheetId="31" hidden="1">#REF!</definedName>
    <definedName name="BLPH8" localSheetId="42" hidden="1">#REF!</definedName>
    <definedName name="BLPH8" localSheetId="30" hidden="1">#REF!</definedName>
    <definedName name="BLPH8" localSheetId="32" hidden="1">#REF!</definedName>
    <definedName name="BLPH8" localSheetId="43" hidden="1">#REF!</definedName>
    <definedName name="BLPH8" localSheetId="5" hidden="1">#REF!</definedName>
    <definedName name="BLPH8" localSheetId="26" hidden="1">#REF!</definedName>
    <definedName name="BLPH8" localSheetId="9" hidden="1">#REF!</definedName>
    <definedName name="BLPH8" localSheetId="19" hidden="1">#REF!</definedName>
    <definedName name="BLPH8" hidden="1">#REF!</definedName>
    <definedName name="BLPH9" localSheetId="31" hidden="1">#REF!</definedName>
    <definedName name="BLPH9" localSheetId="42" hidden="1">#REF!</definedName>
    <definedName name="BLPH9" localSheetId="30" hidden="1">#REF!</definedName>
    <definedName name="BLPH9" localSheetId="32" hidden="1">#REF!</definedName>
    <definedName name="BLPH9" localSheetId="43" hidden="1">#REF!</definedName>
    <definedName name="BLPH9" localSheetId="5" hidden="1">#REF!</definedName>
    <definedName name="BLPH9" localSheetId="26" hidden="1">#REF!</definedName>
    <definedName name="BLPH9" localSheetId="9" hidden="1">#REF!</definedName>
    <definedName name="BLPH9" localSheetId="19" hidden="1">#REF!</definedName>
    <definedName name="BLPH9" hidden="1">#REF!</definedName>
    <definedName name="C_CLAVE_AYUDA" localSheetId="20">#REF!</definedName>
    <definedName name="C_CLAVE_AYUDA" localSheetId="11">#REF!</definedName>
    <definedName name="C_CLAVE_AYUDA" localSheetId="13">#REF!</definedName>
    <definedName name="C_CLAVE_AYUDA">#REF!</definedName>
    <definedName name="capex_depr" localSheetId="31" hidden="1">{"'domaće količine'!$K$34:$P$47"}</definedName>
    <definedName name="capex_depr" localSheetId="42" hidden="1">{"'domaće količine'!$K$34:$P$47"}</definedName>
    <definedName name="capex_depr" localSheetId="30" hidden="1">{"'domaće količine'!$K$34:$P$47"}</definedName>
    <definedName name="capex_depr" localSheetId="32" hidden="1">{"'domaće količine'!$K$34:$P$47"}</definedName>
    <definedName name="capex_depr" localSheetId="43" hidden="1">{"'domaće količine'!$K$34:$P$47"}</definedName>
    <definedName name="capex_depr" localSheetId="7" hidden="1">{"'domaće količine'!$K$34:$P$47"}</definedName>
    <definedName name="capex_depr" localSheetId="5" hidden="1">{"'domaće količine'!$K$34:$P$47"}</definedName>
    <definedName name="capex_depr" localSheetId="26" hidden="1">{"'domaće količine'!$K$34:$P$47"}</definedName>
    <definedName name="capex_depr" localSheetId="21" hidden="1">{"'domaće količine'!$K$34:$P$47"}</definedName>
    <definedName name="capex_depr" localSheetId="23" hidden="1">{"'domaće količine'!$K$34:$P$47"}</definedName>
    <definedName name="capex_depr" localSheetId="9" hidden="1">{"'domaće količine'!$K$34:$P$47"}</definedName>
    <definedName name="capex_depr" localSheetId="19" hidden="1">{"'domaće količine'!$K$34:$P$47"}</definedName>
    <definedName name="capex_depr" localSheetId="22" hidden="1">{"'domaće količine'!$K$34:$P$47"}</definedName>
    <definedName name="capex_depr" hidden="1">{"'domaće količine'!$K$34:$P$47"}</definedName>
    <definedName name="CapIncrease" localSheetId="31">#REF!</definedName>
    <definedName name="CapIncrease" localSheetId="42">#REF!</definedName>
    <definedName name="CapIncrease" localSheetId="30">#REF!</definedName>
    <definedName name="CapIncrease" localSheetId="32">#REF!</definedName>
    <definedName name="CapIncrease" localSheetId="43">#REF!</definedName>
    <definedName name="CapIncrease" localSheetId="5">#REF!</definedName>
    <definedName name="CapIncrease" localSheetId="26">#REF!</definedName>
    <definedName name="CapIncrease" localSheetId="9">#REF!</definedName>
    <definedName name="CapIncrease" localSheetId="19">#REF!</definedName>
    <definedName name="CapIncrease">#REF!</definedName>
    <definedName name="Caseàcocher10_QuandClic" localSheetId="31">'4.2 Domestic market stratif'!Caseàcocher10_QuandClic</definedName>
    <definedName name="Caseàcocher10_QuandClic" localSheetId="30">'4.2 Export market stratif '!Caseàcocher10_QuandClic</definedName>
    <definedName name="Caseàcocher10_QuandClic" localSheetId="32">'4.3 Domestic product strati'!Caseàcocher10_QuandClic</definedName>
    <definedName name="Caseàcocher10_QuandClic" localSheetId="7">#N/A</definedName>
    <definedName name="Caseàcocher10_QuandClic" localSheetId="20">'Q1''23 CONSO vs BP Q1''22'!Caseàcocher10_QuandClic</definedName>
    <definedName name="Caseàcocher10_QuandClic" localSheetId="21">'Q1''23 SNA vs BP Q1''22'!Caseàcocher10_QuandClic</definedName>
    <definedName name="Caseàcocher10_QuandClic" localSheetId="23">'Q1''23 SND vs BP Q1''22'!Caseàcocher10_QuandClic</definedName>
    <definedName name="Caseàcocher10_QuandClic" localSheetId="11">'YTD Q1''23 Cons. vs Q1''22'!Caseàcocher10_QuandClic</definedName>
    <definedName name="Caseàcocher10_QuandClic" localSheetId="13">'YTD Sep Cons. vs PY V2'!Caseàcocher10_QuandClic</definedName>
    <definedName name="Caseàcocher10_QuandClic" localSheetId="22">'YTD Sep SND vs PY'!Caseàcocher10_QuandClic</definedName>
    <definedName name="Caseàcocher10_QuandClic">[0]!Caseàcocher10_QuandClic</definedName>
    <definedName name="Caseàcocher42_QuandClic" localSheetId="31">'4.2 Domestic market stratif'!Caseàcocher42_QuandClic</definedName>
    <definedName name="Caseàcocher42_QuandClic" localSheetId="30">'4.2 Export market stratif '!Caseàcocher42_QuandClic</definedName>
    <definedName name="Caseàcocher42_QuandClic" localSheetId="32">'4.3 Domestic product strati'!Caseàcocher42_QuandClic</definedName>
    <definedName name="Caseàcocher42_QuandClic" localSheetId="7">#N/A</definedName>
    <definedName name="Caseàcocher42_QuandClic" localSheetId="20">'Q1''23 CONSO vs BP Q1''22'!Caseàcocher42_QuandClic</definedName>
    <definedName name="Caseàcocher42_QuandClic" localSheetId="21">'Q1''23 SNA vs BP Q1''22'!Caseàcocher42_QuandClic</definedName>
    <definedName name="Caseàcocher42_QuandClic" localSheetId="23">'Q1''23 SND vs BP Q1''22'!Caseàcocher42_QuandClic</definedName>
    <definedName name="Caseàcocher42_QuandClic" localSheetId="11">'YTD Q1''23 Cons. vs Q1''22'!Caseàcocher42_QuandClic</definedName>
    <definedName name="Caseàcocher42_QuandClic" localSheetId="13">'YTD Sep Cons. vs PY V2'!Caseàcocher42_QuandClic</definedName>
    <definedName name="Caseàcocher42_QuandClic" localSheetId="22">'YTD Sep SND vs PY'!Caseàcocher42_QuandClic</definedName>
    <definedName name="Caseàcocher42_QuandClic">[0]!Caseàcocher42_QuandClic</definedName>
    <definedName name="CAT_K">'[25](H) DATASHEET'!$E$5</definedName>
    <definedName name="CAT_TOT">'[25](H) DATASHEET'!$E$5:$E$7</definedName>
    <definedName name="CDGR">[1]Paramètres!$A$1</definedName>
    <definedName name="Charges" localSheetId="31">'4.2 Domestic market stratif'!Charges</definedName>
    <definedName name="Charges" localSheetId="30">'4.2 Export market stratif '!Charges</definedName>
    <definedName name="Charges" localSheetId="32">'4.3 Domestic product strati'!Charges</definedName>
    <definedName name="Charges" localSheetId="7">#N/A</definedName>
    <definedName name="Charges" localSheetId="20">'Q1''23 CONSO vs BP Q1''22'!Charges</definedName>
    <definedName name="Charges" localSheetId="21">'Q1''23 SNA vs BP Q1''22'!Charges</definedName>
    <definedName name="Charges" localSheetId="23">'Q1''23 SND vs BP Q1''22'!Charges</definedName>
    <definedName name="Charges" localSheetId="11">'YTD Q1''23 Cons. vs Q1''22'!Charges</definedName>
    <definedName name="Charges" localSheetId="13">'YTD Sep Cons. vs PY V2'!Charges</definedName>
    <definedName name="Charges" localSheetId="22">'YTD Sep SND vs PY'!Charges</definedName>
    <definedName name="Charges">[0]!Charges</definedName>
    <definedName name="Cheltunote" localSheetId="31">[17]Plrap!#REF!</definedName>
    <definedName name="Cheltunote" localSheetId="42">[17]Plrap!#REF!</definedName>
    <definedName name="Cheltunote" localSheetId="30">[17]Plrap!#REF!</definedName>
    <definedName name="Cheltunote" localSheetId="32">[17]Plrap!#REF!</definedName>
    <definedName name="Cheltunote" localSheetId="43">[17]Plrap!#REF!</definedName>
    <definedName name="Cheltunote" localSheetId="5">[17]Plrap!#REF!</definedName>
    <definedName name="Cheltunote" localSheetId="26">[28]Plrap!#REF!</definedName>
    <definedName name="Cheltunote" localSheetId="9">[17]Plrap!#REF!</definedName>
    <definedName name="Cheltunote" localSheetId="19">[17]Plrap!#REF!</definedName>
    <definedName name="Cheltunote">[17]Plrap!#REF!</definedName>
    <definedName name="CHK_M">'[25](H) DATASHEET'!$A$82</definedName>
    <definedName name="CHK_V">'[25](H) DATASHEET'!$A$84</definedName>
    <definedName name="CHKLANG">'[25](H) triggersheet'!$C$15</definedName>
    <definedName name="Choix_Imprimantes" localSheetId="31">'4.2 Domestic market stratif'!Choix_Imprimantes</definedName>
    <definedName name="Choix_Imprimantes" localSheetId="30">'4.2 Export market stratif '!Choix_Imprimantes</definedName>
    <definedName name="Choix_Imprimantes" localSheetId="32">'4.3 Domestic product strati'!Choix_Imprimantes</definedName>
    <definedName name="Choix_Imprimantes" localSheetId="7">#N/A</definedName>
    <definedName name="Choix_Imprimantes" localSheetId="20">'Q1''23 CONSO vs BP Q1''22'!Choix_Imprimantes</definedName>
    <definedName name="Choix_Imprimantes" localSheetId="21">'Q1''23 SNA vs BP Q1''22'!Choix_Imprimantes</definedName>
    <definedName name="Choix_Imprimantes" localSheetId="23">'Q1''23 SND vs BP Q1''22'!Choix_Imprimantes</definedName>
    <definedName name="Choix_Imprimantes" localSheetId="11">'YTD Q1''23 Cons. vs Q1''22'!Choix_Imprimantes</definedName>
    <definedName name="Choix_Imprimantes" localSheetId="13">'YTD Sep Cons. vs PY V2'!Choix_Imprimantes</definedName>
    <definedName name="Choix_Imprimantes" localSheetId="22">'YTD Sep SND vs PY'!Choix_Imprimantes</definedName>
    <definedName name="Choix_Imprimantes">[0]!Choix_Imprimantes</definedName>
    <definedName name="CIQWBGuid" hidden="1">"184e5ba0-1a4c-4c0c-8307-650257774bbc"</definedName>
    <definedName name="CLASSIF">'[25](H) DATASHEET'!$J$53</definedName>
    <definedName name="CO">'[29]EXPENDITURE CYCLE'!#REF!</definedName>
    <definedName name="Code" localSheetId="31" hidden="1">#REF!</definedName>
    <definedName name="Code" localSheetId="42" hidden="1">#REF!</definedName>
    <definedName name="Code" localSheetId="30" hidden="1">#REF!</definedName>
    <definedName name="Code" localSheetId="32" hidden="1">#REF!</definedName>
    <definedName name="Code" localSheetId="43" hidden="1">#REF!</definedName>
    <definedName name="Code" localSheetId="5" hidden="1">#REF!</definedName>
    <definedName name="Code" localSheetId="26" hidden="1">#REF!</definedName>
    <definedName name="Code" localSheetId="9" hidden="1">#REF!</definedName>
    <definedName name="Code" localSheetId="19" hidden="1">#REF!</definedName>
    <definedName name="Code" hidden="1">#REF!</definedName>
    <definedName name="CodeGroupeAnalyse" localSheetId="31">#REF!</definedName>
    <definedName name="CodeGroupeAnalyse" localSheetId="30">#REF!</definedName>
    <definedName name="CodeGroupeAnalyse" localSheetId="32">#REF!</definedName>
    <definedName name="CodeGroupeAnalyse" localSheetId="7">#REF!</definedName>
    <definedName name="CodeGroupeAnalyse" localSheetId="20">#REF!</definedName>
    <definedName name="CodeGroupeAnalyse" localSheetId="21">'Q1''23 SNA vs BP Q1''22'!$B$2</definedName>
    <definedName name="CodeGroupeAnalyse" localSheetId="23">'Q1''23 SND vs BP Q1''22'!$B$2</definedName>
    <definedName name="CodeGroupeAnalyse" localSheetId="11">#REF!</definedName>
    <definedName name="CodeGroupeAnalyse" localSheetId="10">'YTD Q1''23 SND vs Q1''22'!$B$2</definedName>
    <definedName name="CodeGroupeAnalyse" localSheetId="13">#REF!</definedName>
    <definedName name="CodeGroupeAnalyse" localSheetId="22">'YTD Sep SND vs PY'!$B$2</definedName>
    <definedName name="CodeGroupeAnalyse">#REF!</definedName>
    <definedName name="COM_BEB_AYUDA" localSheetId="31">#REF!</definedName>
    <definedName name="COM_BEB_AYUDA" localSheetId="30">#REF!</definedName>
    <definedName name="COM_BEB_AYUDA" localSheetId="32">#REF!</definedName>
    <definedName name="COM_BEB_AYUDA" localSheetId="20">#REF!</definedName>
    <definedName name="COM_BEB_AYUDA" localSheetId="11">#REF!</definedName>
    <definedName name="COM_BEB_AYUDA" localSheetId="13">#REF!</definedName>
    <definedName name="COM_BEB_AYUDA">#REF!</definedName>
    <definedName name="commentaires" localSheetId="31">'4.2 Domestic market stratif'!commentaires</definedName>
    <definedName name="commentaires" localSheetId="30">'4.2 Export market stratif '!commentaires</definedName>
    <definedName name="commentaires" localSheetId="32">'4.3 Domestic product strati'!commentaires</definedName>
    <definedName name="commentaires" localSheetId="7">#N/A</definedName>
    <definedName name="commentaires" localSheetId="20">'Q1''23 CONSO vs BP Q1''22'!commentaires</definedName>
    <definedName name="commentaires" localSheetId="21">'Q1''23 SNA vs BP Q1''22'!commentaires</definedName>
    <definedName name="commentaires" localSheetId="23">'Q1''23 SND vs BP Q1''22'!commentaires</definedName>
    <definedName name="commentaires" localSheetId="11">'YTD Q1''23 Cons. vs Q1''22'!commentaires</definedName>
    <definedName name="commentaires" localSheetId="13">'YTD Sep Cons. vs PY V2'!commentaires</definedName>
    <definedName name="commentaires" localSheetId="22">'YTD Sep SND vs PY'!commentaires</definedName>
    <definedName name="commentaires">[0]!commentaires</definedName>
    <definedName name="COMPARATIVO_AYUDA" localSheetId="31">#REF!</definedName>
    <definedName name="COMPARATIVO_AYUDA" localSheetId="30">#REF!</definedName>
    <definedName name="COMPARATIVO_AYUDA" localSheetId="32">#REF!</definedName>
    <definedName name="COMPARATIVO_AYUDA" localSheetId="20">#REF!</definedName>
    <definedName name="COMPARATIVO_AYUDA" localSheetId="11">#REF!</definedName>
    <definedName name="COMPARATIVO_AYUDA" localSheetId="13">#REF!</definedName>
    <definedName name="COMPARATIVO_AYUDA">#REF!</definedName>
    <definedName name="Conclusion">[30]HideSheet!$A$16:$A$19</definedName>
    <definedName name="Considerations_for_identifying_the_population" localSheetId="31">#REF!</definedName>
    <definedName name="Considerations_for_identifying_the_population" localSheetId="30">#REF!</definedName>
    <definedName name="Considerations_for_identifying_the_population" localSheetId="32">#REF!</definedName>
    <definedName name="Considerations_for_identifying_the_population">#REF!</definedName>
    <definedName name="Considerations_for_sample_method" localSheetId="31">#REF!</definedName>
    <definedName name="Considerations_for_sample_method" localSheetId="30">#REF!</definedName>
    <definedName name="Considerations_for_sample_method" localSheetId="32">#REF!</definedName>
    <definedName name="Considerations_for_sample_method">#REF!</definedName>
    <definedName name="Considerations_where_sample_size_is_75" localSheetId="31">#REF!</definedName>
    <definedName name="Considerations_where_sample_size_is_75" localSheetId="30">#REF!</definedName>
    <definedName name="Considerations_where_sample_size_is_75" localSheetId="32">#REF!</definedName>
    <definedName name="Considerations_where_sample_size_is_75">#REF!</definedName>
    <definedName name="CONSOLIDATIE">'[25](H) DATASHEET'!$A$42:$A$44</definedName>
    <definedName name="CONSOLIDATIE2">'[25](H) DATASHEET'!$A$47:$A$49</definedName>
    <definedName name="Contactos_AYUDA" localSheetId="31">#REF!</definedName>
    <definedName name="Contactos_AYUDA" localSheetId="30">#REF!</definedName>
    <definedName name="Contactos_AYUDA" localSheetId="32">#REF!</definedName>
    <definedName name="Contactos_AYUDA" localSheetId="20">#REF!</definedName>
    <definedName name="Contactos_AYUDA" localSheetId="11">#REF!</definedName>
    <definedName name="Contactos_AYUDA" localSheetId="13">#REF!</definedName>
    <definedName name="Contactos_AYUDA">#REF!</definedName>
    <definedName name="controletolerantie">[31]TOTAAL!$C$9</definedName>
    <definedName name="Cr121unu" localSheetId="31">[17]Prima!#REF!</definedName>
    <definedName name="Cr121unu" localSheetId="42">[17]Prima!#REF!</definedName>
    <definedName name="Cr121unu" localSheetId="30">[17]Prima!#REF!</definedName>
    <definedName name="Cr121unu" localSheetId="32">[17]Prima!#REF!</definedName>
    <definedName name="Cr121unu" localSheetId="43">[17]Prima!#REF!</definedName>
    <definedName name="Cr121unu" localSheetId="5">[17]Prima!#REF!</definedName>
    <definedName name="Cr121unu" localSheetId="26">[28]Prima!#REF!</definedName>
    <definedName name="Cr121unu" localSheetId="9">[17]Prima!#REF!</definedName>
    <definedName name="Cr121unu" localSheetId="19">[17]Prima!#REF!</definedName>
    <definedName name="Cr121unu">[17]Prima!#REF!</definedName>
    <definedName name="csDesignMode">1</definedName>
    <definedName name="CTT">'[32]Sampling (HIDE)'!$E$2</definedName>
    <definedName name="CY_Accounts_Receivable" localSheetId="31">#REF!</definedName>
    <definedName name="CY_Accounts_Receivable" localSheetId="30">#REF!</definedName>
    <definedName name="CY_Accounts_Receivable" localSheetId="32">#REF!</definedName>
    <definedName name="CY_Accounts_Receivable">#REF!</definedName>
    <definedName name="CY_Administration" localSheetId="31">#REF!</definedName>
    <definedName name="CY_Administration" localSheetId="30">#REF!</definedName>
    <definedName name="CY_Administration" localSheetId="32">#REF!</definedName>
    <definedName name="CY_Administration">#REF!</definedName>
    <definedName name="CY_all_Assets">'[33]Summary of Misstatements'!$D$35</definedName>
    <definedName name="CY_all_Equity">'[33]Summary of Misstatements'!$G$35</definedName>
    <definedName name="CY_all_Income">'[33]Summary of Misstatements'!$H$35</definedName>
    <definedName name="CY_all_Liabs">'[33]Summary of Misstatements'!$E$35</definedName>
    <definedName name="CY_all_RetEarn_bf">'[33]Summary of Misstatements'!$F$35</definedName>
    <definedName name="CY_Cash" localSheetId="31">#REF!</definedName>
    <definedName name="CY_Cash" localSheetId="30">#REF!</definedName>
    <definedName name="CY_Cash" localSheetId="32">#REF!</definedName>
    <definedName name="CY_Cash">#REF!</definedName>
    <definedName name="CY_Cash_Div_Dec">'[34]Income Statement'!#REF!</definedName>
    <definedName name="CY_CASH_DIVIDENDS_DECLARED__per_common_share">'[34]Income Statement'!#REF!</definedName>
    <definedName name="CY_Common_Equity" localSheetId="31">#REF!</definedName>
    <definedName name="CY_Common_Equity" localSheetId="30">#REF!</definedName>
    <definedName name="CY_Common_Equity" localSheetId="32">#REF!</definedName>
    <definedName name="CY_Common_Equity">#REF!</definedName>
    <definedName name="CY_Cost_of_Sales" localSheetId="31">#REF!</definedName>
    <definedName name="CY_Cost_of_Sales" localSheetId="30">#REF!</definedName>
    <definedName name="CY_Cost_of_Sales" localSheetId="32">#REF!</definedName>
    <definedName name="CY_Cost_of_Sales">#REF!</definedName>
    <definedName name="CY_Current_Liabilities" localSheetId="31">#REF!</definedName>
    <definedName name="CY_Current_Liabilities" localSheetId="30">#REF!</definedName>
    <definedName name="CY_Current_Liabilities" localSheetId="32">#REF!</definedName>
    <definedName name="CY_Current_Liabilities">#REF!</definedName>
    <definedName name="CY_Depreciation">#REF!</definedName>
    <definedName name="CY_Disc._Ops.">#REF!</definedName>
    <definedName name="CY_Earnings_per_share">[34]Ratios!#REF!</definedName>
    <definedName name="CY_Extraord." localSheetId="31">#REF!</definedName>
    <definedName name="CY_Extraord." localSheetId="30">#REF!</definedName>
    <definedName name="CY_Extraord." localSheetId="32">#REF!</definedName>
    <definedName name="CY_Extraord.">#REF!</definedName>
    <definedName name="CY_Gross_Profit" localSheetId="31">#REF!</definedName>
    <definedName name="CY_Gross_Profit" localSheetId="30">#REF!</definedName>
    <definedName name="CY_Gross_Profit" localSheetId="32">#REF!</definedName>
    <definedName name="CY_Gross_Profit">#REF!</definedName>
    <definedName name="CY_INC_AFT_TAX" localSheetId="31">#REF!</definedName>
    <definedName name="CY_INC_AFT_TAX" localSheetId="30">#REF!</definedName>
    <definedName name="CY_INC_AFT_TAX" localSheetId="32">#REF!</definedName>
    <definedName name="CY_INC_AFT_TAX">#REF!</definedName>
    <definedName name="CY_INC_BEF_EXTRAORD">#REF!</definedName>
    <definedName name="CY_Inc_Bef_Tax">#REF!</definedName>
    <definedName name="CY_Intangible_Assets">#REF!</definedName>
    <definedName name="CY_Interest_Expense">#REF!</definedName>
    <definedName name="CY_Inventory">#REF!</definedName>
    <definedName name="CY_knw_Assets">'[33]Summary of Misstatements'!$D$12</definedName>
    <definedName name="CY_knw_Equity">'[33]Summary of Misstatements'!$G$12</definedName>
    <definedName name="CY_knw_Income">'[33]Summary of Misstatements'!$H$12</definedName>
    <definedName name="CY_knw_Liabs">'[33]Summary of Misstatements'!$E$12</definedName>
    <definedName name="CY_knw_RetEarn_bf">'[33]Summary of Misstatements'!$F$12</definedName>
    <definedName name="CY_LIABIL_EQUITY" localSheetId="31">#REF!</definedName>
    <definedName name="CY_LIABIL_EQUITY" localSheetId="30">#REF!</definedName>
    <definedName name="CY_LIABIL_EQUITY" localSheetId="32">#REF!</definedName>
    <definedName name="CY_LIABIL_EQUITY">#REF!</definedName>
    <definedName name="CY_Long_term_Debt__excl_Dfd_Taxes" localSheetId="31">#REF!</definedName>
    <definedName name="CY_Long_term_Debt__excl_Dfd_Taxes" localSheetId="30">#REF!</definedName>
    <definedName name="CY_Long_term_Debt__excl_Dfd_Taxes" localSheetId="32">#REF!</definedName>
    <definedName name="CY_Long_term_Debt__excl_Dfd_Taxes">#REF!</definedName>
    <definedName name="CY_LT_Debt" localSheetId="31">'[34]Balance Sheet'!#REF!</definedName>
    <definedName name="CY_LT_Debt" localSheetId="30">'[34]Balance Sheet'!#REF!</definedName>
    <definedName name="CY_LT_Debt" localSheetId="32">'[34]Balance Sheet'!#REF!</definedName>
    <definedName name="CY_LT_Debt">'[34]Balance Sheet'!#REF!</definedName>
    <definedName name="CY_Market_Value_of_Equity" localSheetId="31">'[34]Income Statement'!#REF!</definedName>
    <definedName name="CY_Market_Value_of_Equity" localSheetId="30">'[34]Income Statement'!#REF!</definedName>
    <definedName name="CY_Market_Value_of_Equity" localSheetId="32">'[34]Income Statement'!#REF!</definedName>
    <definedName name="CY_Market_Value_of_Equity">'[34]Income Statement'!#REF!</definedName>
    <definedName name="CY_Marketable_Sec" localSheetId="31">#REF!</definedName>
    <definedName name="CY_Marketable_Sec" localSheetId="30">#REF!</definedName>
    <definedName name="CY_Marketable_Sec" localSheetId="32">#REF!</definedName>
    <definedName name="CY_Marketable_Sec">#REF!</definedName>
    <definedName name="CY_NET_INCOME" localSheetId="31">#REF!</definedName>
    <definedName name="CY_NET_INCOME" localSheetId="30">#REF!</definedName>
    <definedName name="CY_NET_INCOME" localSheetId="32">#REF!</definedName>
    <definedName name="CY_NET_INCOME">#REF!</definedName>
    <definedName name="CY_Net_Revenue" localSheetId="31">#REF!</definedName>
    <definedName name="CY_Net_Revenue" localSheetId="30">#REF!</definedName>
    <definedName name="CY_Net_Revenue" localSheetId="32">#REF!</definedName>
    <definedName name="CY_Net_Revenue">#REF!</definedName>
    <definedName name="CY_Operating_Income">#REF!</definedName>
    <definedName name="CY_Other">#REF!</definedName>
    <definedName name="CY_Other_Curr_Assets">#REF!</definedName>
    <definedName name="CY_Other_LT_Assets">#REF!</definedName>
    <definedName name="CY_Other_LT_Liabilities">#REF!</definedName>
    <definedName name="CY_Preferred_Stock">#REF!</definedName>
    <definedName name="CY_QUICK_ASSETS">#REF!</definedName>
    <definedName name="CY_Retained_Earnings">#REF!</definedName>
    <definedName name="CY_Selling">#REF!</definedName>
    <definedName name="CY_Tangible_Assets">#REF!</definedName>
    <definedName name="CY_Tangible_Net_Worth">'[34]Income Statement'!#REF!</definedName>
    <definedName name="CY_Taxes" localSheetId="31">#REF!</definedName>
    <definedName name="CY_Taxes" localSheetId="30">#REF!</definedName>
    <definedName name="CY_Taxes" localSheetId="32">#REF!</definedName>
    <definedName name="CY_Taxes">#REF!</definedName>
    <definedName name="CY_TOTAL_ASSETS" localSheetId="31">#REF!</definedName>
    <definedName name="CY_TOTAL_ASSETS" localSheetId="30">#REF!</definedName>
    <definedName name="CY_TOTAL_ASSETS" localSheetId="32">#REF!</definedName>
    <definedName name="CY_TOTAL_ASSETS">#REF!</definedName>
    <definedName name="CY_TOTAL_CURR_ASSETS" localSheetId="31">#REF!</definedName>
    <definedName name="CY_TOTAL_CURR_ASSETS" localSheetId="30">#REF!</definedName>
    <definedName name="CY_TOTAL_CURR_ASSETS" localSheetId="32">#REF!</definedName>
    <definedName name="CY_TOTAL_CURR_ASSETS">#REF!</definedName>
    <definedName name="CY_TOTAL_DEBT">#REF!</definedName>
    <definedName name="CY_TOTAL_EQUITY">#REF!</definedName>
    <definedName name="CY_Trade_Payables">#REF!</definedName>
    <definedName name="CY_tx_all_Equity">'[33]Summary of Misstatements'!$L$35</definedName>
    <definedName name="CY_tx_all_Income">'[33]Summary of Misstatements'!$M$35</definedName>
    <definedName name="CY_tx_all_RetEarn_bf">'[33]Summary of Misstatements'!$K$35</definedName>
    <definedName name="CY_tx_knw_Equity">'[33]Summary of Misstatements'!$L$12</definedName>
    <definedName name="CY_tx_knw_Income">'[33]Summary of Misstatements'!$M$12</definedName>
    <definedName name="CY_tx_knw_Liabs">'[33]Summary of Misstatements'!$J$12</definedName>
    <definedName name="CY_tx_knw_RetEarn_bf">'[33]Summary of Misstatements'!$K$12</definedName>
    <definedName name="CY_Weighted_Average">'[34]Income Statement'!#REF!</definedName>
    <definedName name="CY_Working_Capital">'[34]Income Statement'!#REF!</definedName>
    <definedName name="CY_Year_Income_Statement" localSheetId="31">#REF!</definedName>
    <definedName name="CY_Year_Income_Statement" localSheetId="30">#REF!</definedName>
    <definedName name="CY_Year_Income_Statement" localSheetId="32">#REF!</definedName>
    <definedName name="CY_Year_Income_Statement">#REF!</definedName>
    <definedName name="d" localSheetId="31" hidden="1">{"'domaće količine'!$K$34:$P$47"}</definedName>
    <definedName name="d" localSheetId="42" hidden="1">{"'domaće količine'!$K$34:$P$47"}</definedName>
    <definedName name="d" localSheetId="30" hidden="1">{"'domaće količine'!$K$34:$P$47"}</definedName>
    <definedName name="d" localSheetId="32" hidden="1">{"'domaće količine'!$K$34:$P$47"}</definedName>
    <definedName name="d" localSheetId="43" hidden="1">{"'domaće količine'!$K$34:$P$47"}</definedName>
    <definedName name="d" localSheetId="7" hidden="1">{"'domaće količine'!$K$34:$P$47"}</definedName>
    <definedName name="d" localSheetId="5" hidden="1">{"'domaće količine'!$K$34:$P$47"}</definedName>
    <definedName name="d" localSheetId="26" hidden="1">{"'domaće količine'!$K$34:$P$47"}</definedName>
    <definedName name="d" localSheetId="21" hidden="1">{"'domaće količine'!$K$34:$P$47"}</definedName>
    <definedName name="d" localSheetId="23" hidden="1">{"'domaće količine'!$K$34:$P$47"}</definedName>
    <definedName name="d" localSheetId="9" hidden="1">{"'domaće količine'!$K$34:$P$47"}</definedName>
    <definedName name="d" localSheetId="19" hidden="1">{"'domaće količine'!$K$34:$P$47"}</definedName>
    <definedName name="d" localSheetId="22" hidden="1">{"'domaće količine'!$K$34:$P$47"}</definedName>
    <definedName name="d" hidden="1">{"'domaće količine'!$K$34:$P$47"}</definedName>
    <definedName name="DA_2278202717900017073" hidden="1">'[35]Covenants '!#REF!</definedName>
    <definedName name="DA_2278202717900017077" hidden="1">'[35]Covenants '!#REF!</definedName>
    <definedName name="DA_2399189949300000154" localSheetId="31" hidden="1">#REF!</definedName>
    <definedName name="DA_2399189949300000154" localSheetId="30" hidden="1">#REF!</definedName>
    <definedName name="DA_2399189949300000154" localSheetId="32" hidden="1">#REF!</definedName>
    <definedName name="DA_2399189949300000154" hidden="1">#REF!</definedName>
    <definedName name="DA_2399189949300000164" localSheetId="31" hidden="1">#REF!</definedName>
    <definedName name="DA_2399189949300000164" localSheetId="30" hidden="1">#REF!</definedName>
    <definedName name="DA_2399189949300000164" localSheetId="32" hidden="1">#REF!</definedName>
    <definedName name="DA_2399189949300000164" hidden="1">#REF!</definedName>
    <definedName name="DA_2570421559100001252" localSheetId="31" hidden="1">'[35]Related parties receivables'!#REF!</definedName>
    <definedName name="DA_2570421559100001252" localSheetId="30" hidden="1">'[35]Related parties receivables'!#REF!</definedName>
    <definedName name="DA_2570421559100001252" localSheetId="32" hidden="1">'[35]Related parties receivables'!#REF!</definedName>
    <definedName name="DA_2570421559100001252" hidden="1">'[35]Related parties receivables'!#REF!</definedName>
    <definedName name="DA_2570421559100001692" localSheetId="31" hidden="1">#REF!</definedName>
    <definedName name="DA_2570421559100001692" localSheetId="30" hidden="1">#REF!</definedName>
    <definedName name="DA_2570421559100001692" localSheetId="32" hidden="1">#REF!</definedName>
    <definedName name="DA_2570421559100001692" hidden="1">#REF!</definedName>
    <definedName name="DA_2570421559100001697" localSheetId="31" hidden="1">#REF!</definedName>
    <definedName name="DA_2570421559100001697" localSheetId="30" hidden="1">#REF!</definedName>
    <definedName name="DA_2570421559100001697" localSheetId="32" hidden="1">#REF!</definedName>
    <definedName name="DA_2570421559100001697" hidden="1">#REF!</definedName>
    <definedName name="DA_2570421559100001702" localSheetId="31" hidden="1">'[36]Hypo 16.05.2014'!#REF!</definedName>
    <definedName name="DA_2570421559100001702" localSheetId="30" hidden="1">'[36]Hypo 16.05.2014'!#REF!</definedName>
    <definedName name="DA_2570421559100001702" localSheetId="32" hidden="1">'[36]Hypo 16.05.2014'!#REF!</definedName>
    <definedName name="DA_2570421559100001702" hidden="1">'[36]Hypo 16.05.2014'!#REF!</definedName>
    <definedName name="DA_2570421559100001718" localSheetId="31" hidden="1">'[36]DSK 1675'!#REF!</definedName>
    <definedName name="DA_2570421559100001718" localSheetId="30" hidden="1">'[36]DSK 1675'!#REF!</definedName>
    <definedName name="DA_2570421559100001718" localSheetId="32" hidden="1">'[36]DSK 1675'!#REF!</definedName>
    <definedName name="DA_2570421559100001718" hidden="1">'[36]DSK 1675'!#REF!</definedName>
    <definedName name="DA_2570421559100001745" localSheetId="31" hidden="1">#REF!</definedName>
    <definedName name="DA_2570421559100001745" localSheetId="30" hidden="1">#REF!</definedName>
    <definedName name="DA_2570421559100001745" localSheetId="32" hidden="1">#REF!</definedName>
    <definedName name="DA_2570421559100001745" hidden="1">#REF!</definedName>
    <definedName name="DA_2570421559100001763" localSheetId="31" hidden="1">'[36]RFB 25.02.2014'!#REF!</definedName>
    <definedName name="DA_2570421559100001763" localSheetId="30" hidden="1">'[36]RFB 25.02.2014'!#REF!</definedName>
    <definedName name="DA_2570421559100001763" localSheetId="32" hidden="1">'[36]RFB 25.02.2014'!#REF!</definedName>
    <definedName name="DA_2570421559100001763" hidden="1">'[36]RFB 25.02.2014'!#REF!</definedName>
    <definedName name="DA_2570421559100001777" localSheetId="31" hidden="1">'[36]RFB 09.11.2015'!#REF!</definedName>
    <definedName name="DA_2570421559100001777" localSheetId="30" hidden="1">'[36]RFB 09.11.2015'!#REF!</definedName>
    <definedName name="DA_2570421559100001777" localSheetId="32" hidden="1">'[36]RFB 09.11.2015'!#REF!</definedName>
    <definedName name="DA_2570421559100001777" hidden="1">'[36]RFB 09.11.2015'!#REF!</definedName>
    <definedName name="DA_2570421559100001782" localSheetId="31" hidden="1">'[36]EFG 2{100-972}'!#REF!</definedName>
    <definedName name="DA_2570421559100001782" localSheetId="30" hidden="1">'[36]EFG 2{100-972}'!#REF!</definedName>
    <definedName name="DA_2570421559100001782" localSheetId="32" hidden="1">'[36]EFG 2{100-972}'!#REF!</definedName>
    <definedName name="DA_2570421559100001782" hidden="1">'[36]EFG 2{100-972}'!#REF!</definedName>
    <definedName name="DA_2570421559100001787" localSheetId="31" hidden="1">'[36]EFG 3 {339)'!#REF!</definedName>
    <definedName name="DA_2570421559100001787" localSheetId="30" hidden="1">'[36]EFG 3 {339)'!#REF!</definedName>
    <definedName name="DA_2570421559100001787" localSheetId="32" hidden="1">'[36]EFG 3 {339)'!#REF!</definedName>
    <definedName name="DA_2570421559100001787" hidden="1">'[36]EFG 3 {339)'!#REF!</definedName>
    <definedName name="DA_2570421559100001839" localSheetId="31" hidden="1">#REF!</definedName>
    <definedName name="DA_2570421559100001839" localSheetId="30" hidden="1">#REF!</definedName>
    <definedName name="DA_2570421559100001839" localSheetId="32" hidden="1">#REF!</definedName>
    <definedName name="DA_2570421559100001839" hidden="1">#REF!</definedName>
    <definedName name="DA_2570421559100001843" localSheetId="31" hidden="1">#REF!</definedName>
    <definedName name="DA_2570421559100001843" localSheetId="30" hidden="1">#REF!</definedName>
    <definedName name="DA_2570421559100001843" localSheetId="32" hidden="1">#REF!</definedName>
    <definedName name="DA_2570421559100001843" hidden="1">#REF!</definedName>
    <definedName name="DA_2570421559100002074" localSheetId="31" hidden="1">'[35]Related parties receivables'!#REF!</definedName>
    <definedName name="DA_2570421559100002074" localSheetId="30" hidden="1">'[35]Related parties receivables'!#REF!</definedName>
    <definedName name="DA_2570421559100002074" localSheetId="32" hidden="1">'[35]Related parties receivables'!#REF!</definedName>
    <definedName name="DA_2570421559100002074" hidden="1">'[35]Related parties receivables'!#REF!</definedName>
    <definedName name="DA_2570421559100002079" localSheetId="31" hidden="1">'[35]Related parties receivables'!#REF!</definedName>
    <definedName name="DA_2570421559100002079" localSheetId="30" hidden="1">'[35]Related parties receivables'!#REF!</definedName>
    <definedName name="DA_2570421559100002079" localSheetId="32" hidden="1">'[35]Related parties receivables'!#REF!</definedName>
    <definedName name="DA_2570421559100002079" hidden="1">'[35]Related parties receivables'!#REF!</definedName>
    <definedName name="DA_2570421559100002084" localSheetId="31" hidden="1">'[35]Related parties receivables'!#REF!</definedName>
    <definedName name="DA_2570421559100002084" localSheetId="30" hidden="1">'[35]Related parties receivables'!#REF!</definedName>
    <definedName name="DA_2570421559100002084" localSheetId="32" hidden="1">'[35]Related parties receivables'!#REF!</definedName>
    <definedName name="DA_2570421559100002084" hidden="1">'[35]Related parties receivables'!#REF!</definedName>
    <definedName name="DA_2570421559100002382" localSheetId="31" hidden="1">#REF!</definedName>
    <definedName name="DA_2570421559100002382" localSheetId="30" hidden="1">#REF!</definedName>
    <definedName name="DA_2570421559100002382" localSheetId="32" hidden="1">#REF!</definedName>
    <definedName name="DA_2570421559100002382" hidden="1">#REF!</definedName>
    <definedName name="DA_2570421559100005828" localSheetId="31" hidden="1">'[35]Related parties receivables'!#REF!</definedName>
    <definedName name="DA_2570421559100005828" localSheetId="30" hidden="1">'[35]Related parties receivables'!#REF!</definedName>
    <definedName name="DA_2570421559100005828" localSheetId="32" hidden="1">'[35]Related parties receivables'!#REF!</definedName>
    <definedName name="DA_2570421559100005828" hidden="1">'[35]Related parties receivables'!#REF!</definedName>
    <definedName name="DA_2570421559100006613" localSheetId="31" hidden="1">[37]Summary!#REF!</definedName>
    <definedName name="DA_2570421559100006613" localSheetId="30" hidden="1">[37]Summary!#REF!</definedName>
    <definedName name="DA_2570421559100006613" localSheetId="32" hidden="1">[37]Summary!#REF!</definedName>
    <definedName name="DA_2570421559100006613" hidden="1">[37]Summary!#REF!</definedName>
    <definedName name="DA_2570421559100006620" localSheetId="31" hidden="1">[37]Summary!#REF!</definedName>
    <definedName name="DA_2570421559100006620" localSheetId="30" hidden="1">[37]Summary!#REF!</definedName>
    <definedName name="DA_2570421559100006620" localSheetId="32" hidden="1">[37]Summary!#REF!</definedName>
    <definedName name="DA_2570421559100006620" hidden="1">[37]Summary!#REF!</definedName>
    <definedName name="DA_2570421559100006624" localSheetId="31" hidden="1">[37]Summary!#REF!</definedName>
    <definedName name="DA_2570421559100006624" localSheetId="30" hidden="1">[37]Summary!#REF!</definedName>
    <definedName name="DA_2570421559100006624" localSheetId="32" hidden="1">[37]Summary!#REF!</definedName>
    <definedName name="DA_2570421559100006624" hidden="1">[37]Summary!#REF!</definedName>
    <definedName name="DA_2570421559100008112" localSheetId="31" hidden="1">#REF!</definedName>
    <definedName name="DA_2570421559100008112" localSheetId="30" hidden="1">#REF!</definedName>
    <definedName name="DA_2570421559100008112" localSheetId="32" hidden="1">#REF!</definedName>
    <definedName name="DA_2570421559100008112" hidden="1">#REF!</definedName>
    <definedName name="DA_2570421559100008115" localSheetId="31" hidden="1">#REF!</definedName>
    <definedName name="DA_2570421559100008115" localSheetId="30" hidden="1">#REF!</definedName>
    <definedName name="DA_2570421559100008115" localSheetId="32" hidden="1">#REF!</definedName>
    <definedName name="DA_2570421559100008115" hidden="1">#REF!</definedName>
    <definedName name="DA_2570421559100008118" localSheetId="31" hidden="1">#REF!</definedName>
    <definedName name="DA_2570421559100008118" localSheetId="30" hidden="1">#REF!</definedName>
    <definedName name="DA_2570421559100008118" localSheetId="32" hidden="1">#REF!</definedName>
    <definedName name="DA_2570421559100008118" hidden="1">#REF!</definedName>
    <definedName name="DA_2570421559100008121" hidden="1">#REF!</definedName>
    <definedName name="DA_2570421559100008124" hidden="1">#REF!</definedName>
    <definedName name="DA_2570421559100008127" hidden="1">#REF!</definedName>
    <definedName name="DA_2605924479700000902" hidden="1">#REF!</definedName>
    <definedName name="DA_2605924479700000930" hidden="1">#REF!</definedName>
    <definedName name="DA_2605924479700000958" hidden="1">#REF!</definedName>
    <definedName name="DA_2605924479700000964" hidden="1">#REF!</definedName>
    <definedName name="DA_2605924479700000968" hidden="1">#REF!</definedName>
    <definedName name="DA_2750172369900000168" hidden="1">#REF!</definedName>
    <definedName name="DA_2750172369900000178" hidden="1">#REF!</definedName>
    <definedName name="DA_2750172369900000182" hidden="1">#REF!</definedName>
    <definedName name="DAL_RESERVED">#REF!</definedName>
    <definedName name="DALBAL.PriorPeriod1Balance" hidden="1">[38]Lead!#REF!</definedName>
    <definedName name="DALFirstRange" hidden="1">[38]Lead!#REF!</definedName>
    <definedName name="DALS_GrandTotal" localSheetId="31">#REF!</definedName>
    <definedName name="DALS_GrandTotal" localSheetId="30">#REF!</definedName>
    <definedName name="DALS_GrandTotal" localSheetId="32">#REF!</definedName>
    <definedName name="DALS_GrandTotal">#REF!</definedName>
    <definedName name="DALS_Heading" localSheetId="31">#REF!</definedName>
    <definedName name="DALS_Heading" localSheetId="30">#REF!</definedName>
    <definedName name="DALS_Heading" localSheetId="32">#REF!</definedName>
    <definedName name="DALS_Heading">#REF!</definedName>
    <definedName name="DATA_01" localSheetId="31" hidden="1">#REF!</definedName>
    <definedName name="DATA_01" localSheetId="42" hidden="1">#REF!</definedName>
    <definedName name="DATA_01" localSheetId="30" hidden="1">#REF!</definedName>
    <definedName name="DATA_01" localSheetId="32" hidden="1">#REF!</definedName>
    <definedName name="DATA_01" localSheetId="43" hidden="1">#REF!</definedName>
    <definedName name="DATA_01" localSheetId="5" hidden="1">#REF!</definedName>
    <definedName name="DATA_01" localSheetId="26" hidden="1">#REF!</definedName>
    <definedName name="DATA_01" localSheetId="9" hidden="1">#REF!</definedName>
    <definedName name="DATA_01" localSheetId="19" hidden="1">#REF!</definedName>
    <definedName name="DATA_01" hidden="1">#REF!</definedName>
    <definedName name="DATA_02" localSheetId="31" hidden="1">#REF!</definedName>
    <definedName name="DATA_02" localSheetId="42" hidden="1">#REF!</definedName>
    <definedName name="DATA_02" localSheetId="30" hidden="1">#REF!</definedName>
    <definedName name="DATA_02" localSheetId="32" hidden="1">#REF!</definedName>
    <definedName name="DATA_02" localSheetId="43" hidden="1">#REF!</definedName>
    <definedName name="DATA_02" localSheetId="5" hidden="1">#REF!</definedName>
    <definedName name="DATA_02" localSheetId="26" hidden="1">#REF!</definedName>
    <definedName name="DATA_02" localSheetId="9" hidden="1">#REF!</definedName>
    <definedName name="DATA_02" localSheetId="19" hidden="1">#REF!</definedName>
    <definedName name="DATA_02" hidden="1">#REF!</definedName>
    <definedName name="DATA_03" localSheetId="31" hidden="1">#REF!</definedName>
    <definedName name="DATA_03" localSheetId="42" hidden="1">#REF!</definedName>
    <definedName name="DATA_03" localSheetId="30" hidden="1">#REF!</definedName>
    <definedName name="DATA_03" localSheetId="32" hidden="1">#REF!</definedName>
    <definedName name="DATA_03" localSheetId="43" hidden="1">#REF!</definedName>
    <definedName name="DATA_03" localSheetId="5" hidden="1">#REF!</definedName>
    <definedName name="DATA_03" localSheetId="26" hidden="1">#REF!</definedName>
    <definedName name="DATA_03" localSheetId="9" hidden="1">#REF!</definedName>
    <definedName name="DATA_03" localSheetId="19" hidden="1">#REF!</definedName>
    <definedName name="DATA_03" hidden="1">#REF!</definedName>
    <definedName name="DATA_04" localSheetId="31" hidden="1">#REF!</definedName>
    <definedName name="DATA_04" localSheetId="42" hidden="1">#REF!</definedName>
    <definedName name="DATA_04" localSheetId="30" hidden="1">#REF!</definedName>
    <definedName name="DATA_04" localSheetId="32" hidden="1">#REF!</definedName>
    <definedName name="DATA_04" localSheetId="43" hidden="1">#REF!</definedName>
    <definedName name="DATA_04" localSheetId="5" hidden="1">#REF!</definedName>
    <definedName name="DATA_04" localSheetId="26" hidden="1">#REF!</definedName>
    <definedName name="DATA_04" localSheetId="9" hidden="1">#REF!</definedName>
    <definedName name="DATA_04" localSheetId="19" hidden="1">#REF!</definedName>
    <definedName name="DATA_04" hidden="1">#REF!</definedName>
    <definedName name="DATA_05" localSheetId="31" hidden="1">#REF!</definedName>
    <definedName name="DATA_05" localSheetId="42" hidden="1">#REF!</definedName>
    <definedName name="DATA_05" localSheetId="30" hidden="1">#REF!</definedName>
    <definedName name="DATA_05" localSheetId="32" hidden="1">#REF!</definedName>
    <definedName name="DATA_05" localSheetId="43" hidden="1">#REF!</definedName>
    <definedName name="DATA_05" localSheetId="5" hidden="1">#REF!</definedName>
    <definedName name="DATA_05" localSheetId="26" hidden="1">#REF!</definedName>
    <definedName name="DATA_05" localSheetId="9" hidden="1">#REF!</definedName>
    <definedName name="DATA_05" localSheetId="19" hidden="1">#REF!</definedName>
    <definedName name="DATA_05" hidden="1">#REF!</definedName>
    <definedName name="DATA_06" localSheetId="31" hidden="1">#REF!</definedName>
    <definedName name="DATA_06" localSheetId="42" hidden="1">#REF!</definedName>
    <definedName name="DATA_06" localSheetId="30" hidden="1">#REF!</definedName>
    <definedName name="DATA_06" localSheetId="32" hidden="1">#REF!</definedName>
    <definedName name="DATA_06" localSheetId="43" hidden="1">#REF!</definedName>
    <definedName name="DATA_06" localSheetId="5" hidden="1">#REF!</definedName>
    <definedName name="DATA_06" localSheetId="26" hidden="1">#REF!</definedName>
    <definedName name="DATA_06" localSheetId="9" hidden="1">#REF!</definedName>
    <definedName name="DATA_06" localSheetId="19" hidden="1">#REF!</definedName>
    <definedName name="DATA_06" hidden="1">#REF!</definedName>
    <definedName name="DATA_07" localSheetId="31" hidden="1">#REF!</definedName>
    <definedName name="DATA_07" localSheetId="42" hidden="1">#REF!</definedName>
    <definedName name="DATA_07" localSheetId="30" hidden="1">#REF!</definedName>
    <definedName name="DATA_07" localSheetId="32" hidden="1">#REF!</definedName>
    <definedName name="DATA_07" localSheetId="43" hidden="1">#REF!</definedName>
    <definedName name="DATA_07" localSheetId="5" hidden="1">#REF!</definedName>
    <definedName name="DATA_07" localSheetId="26" hidden="1">#REF!</definedName>
    <definedName name="DATA_07" localSheetId="9" hidden="1">#REF!</definedName>
    <definedName name="DATA_07" localSheetId="19" hidden="1">#REF!</definedName>
    <definedName name="DATA_07" hidden="1">#REF!</definedName>
    <definedName name="DATA_08" localSheetId="31" hidden="1">#REF!</definedName>
    <definedName name="DATA_08" localSheetId="42" hidden="1">#REF!</definedName>
    <definedName name="DATA_08" localSheetId="30" hidden="1">#REF!</definedName>
    <definedName name="DATA_08" localSheetId="32" hidden="1">#REF!</definedName>
    <definedName name="DATA_08" localSheetId="43" hidden="1">#REF!</definedName>
    <definedName name="DATA_08" localSheetId="5" hidden="1">#REF!</definedName>
    <definedName name="DATA_08" localSheetId="26" hidden="1">#REF!</definedName>
    <definedName name="DATA_08" localSheetId="9" hidden="1">#REF!</definedName>
    <definedName name="DATA_08" localSheetId="19" hidden="1">#REF!</definedName>
    <definedName name="DATA_08" hidden="1">#REF!</definedName>
    <definedName name="data1" localSheetId="31" hidden="1">#REF!</definedName>
    <definedName name="data1" localSheetId="42" hidden="1">#REF!</definedName>
    <definedName name="data1" localSheetId="30" hidden="1">#REF!</definedName>
    <definedName name="data1" localSheetId="32" hidden="1">#REF!</definedName>
    <definedName name="data1" localSheetId="43" hidden="1">#REF!</definedName>
    <definedName name="data1" localSheetId="5" hidden="1">#REF!</definedName>
    <definedName name="data1" localSheetId="26" hidden="1">#REF!</definedName>
    <definedName name="data1" localSheetId="9" hidden="1">#REF!</definedName>
    <definedName name="data1" localSheetId="19" hidden="1">#REF!</definedName>
    <definedName name="data1" hidden="1">#REF!</definedName>
    <definedName name="data2" localSheetId="31" hidden="1">#REF!</definedName>
    <definedName name="data2" localSheetId="42" hidden="1">#REF!</definedName>
    <definedName name="data2" localSheetId="30" hidden="1">#REF!</definedName>
    <definedName name="data2" localSheetId="32" hidden="1">#REF!</definedName>
    <definedName name="data2" localSheetId="43" hidden="1">#REF!</definedName>
    <definedName name="data2" localSheetId="5" hidden="1">#REF!</definedName>
    <definedName name="data2" localSheetId="26" hidden="1">#REF!</definedName>
    <definedName name="data2" localSheetId="9" hidden="1">#REF!</definedName>
    <definedName name="data2" localSheetId="19" hidden="1">#REF!</definedName>
    <definedName name="data2" hidden="1">#REF!</definedName>
    <definedName name="data3" localSheetId="31" hidden="1">#REF!</definedName>
    <definedName name="data3" localSheetId="42" hidden="1">#REF!</definedName>
    <definedName name="data3" localSheetId="30" hidden="1">#REF!</definedName>
    <definedName name="data3" localSheetId="32" hidden="1">#REF!</definedName>
    <definedName name="data3" localSheetId="43" hidden="1">#REF!</definedName>
    <definedName name="data3" localSheetId="5" hidden="1">#REF!</definedName>
    <definedName name="data3" localSheetId="26" hidden="1">#REF!</definedName>
    <definedName name="data3" localSheetId="9" hidden="1">#REF!</definedName>
    <definedName name="data3" localSheetId="19" hidden="1">#REF!</definedName>
    <definedName name="data3" hidden="1">#REF!</definedName>
    <definedName name="DATE">[39]Tréso!$B$5</definedName>
    <definedName name="DateFin1" localSheetId="21">'Q1''23 SNA vs BP Q1''22'!$C$3</definedName>
    <definedName name="DateFin1" localSheetId="23">'Q1''23 SND vs BP Q1''22'!$C$3</definedName>
    <definedName name="DateFin1" localSheetId="9">[40]BILAN!$B$2</definedName>
    <definedName name="DateFin1" localSheetId="10">'YTD Q1''23 SND vs Q1''22'!$C$3</definedName>
    <definedName name="DateFin1" localSheetId="19">[40]BILAN!$B$2</definedName>
    <definedName name="DateFin1" localSheetId="22">'YTD Sep SND vs PY'!$C$3</definedName>
    <definedName name="DateFin1">'[27]BILAN GROUPE Y COMPRIS 4'!$B$2</definedName>
    <definedName name="DateFin2" localSheetId="31">#REF!</definedName>
    <definedName name="DateFin2" localSheetId="30">#REF!</definedName>
    <definedName name="DateFin2" localSheetId="32">#REF!</definedName>
    <definedName name="DateFin2" localSheetId="7">#REF!</definedName>
    <definedName name="DateFin2" localSheetId="20">#REF!</definedName>
    <definedName name="DateFin2" localSheetId="21">'Q1''23 SNA vs BP Q1''22'!$C$4</definedName>
    <definedName name="DateFin2" localSheetId="23">'Q1''23 SND vs BP Q1''22'!$C$4</definedName>
    <definedName name="DateFin2" localSheetId="11">#REF!</definedName>
    <definedName name="DateFin2" localSheetId="9">#REF!</definedName>
    <definedName name="DateFin2" localSheetId="10">'YTD Q1''23 SND vs Q1''22'!$C$4</definedName>
    <definedName name="DateFin2" localSheetId="13">#REF!</definedName>
    <definedName name="DateFin2" localSheetId="19">#REF!</definedName>
    <definedName name="DateFin2" localSheetId="22">'YTD Sep SND vs PY'!$C$4</definedName>
    <definedName name="DateFin2">#REF!</definedName>
    <definedName name="DATOS_AYUDA" localSheetId="31">#REF!</definedName>
    <definedName name="DATOS_AYUDA" localSheetId="30">#REF!</definedName>
    <definedName name="DATOS_AYUDA" localSheetId="32">#REF!</definedName>
    <definedName name="DATOS_AYUDA" localSheetId="20">#REF!</definedName>
    <definedName name="DATOS_AYUDA" localSheetId="11">#REF!</definedName>
    <definedName name="DATOS_AYUDA" localSheetId="13">#REF!</definedName>
    <definedName name="DATOS_AYUDA">#REF!</definedName>
    <definedName name="dd" localSheetId="31" hidden="1">{"'Grafik Kontrol'!$A$1:$J$8"}</definedName>
    <definedName name="dd" localSheetId="42" hidden="1">{"'Grafik Kontrol'!$A$1:$J$8"}</definedName>
    <definedName name="dd" localSheetId="30" hidden="1">{"'Grafik Kontrol'!$A$1:$J$8"}</definedName>
    <definedName name="dd" localSheetId="32" hidden="1">{"'Grafik Kontrol'!$A$1:$J$8"}</definedName>
    <definedName name="dd" localSheetId="43" hidden="1">{"'Grafik Kontrol'!$A$1:$J$8"}</definedName>
    <definedName name="dd" localSheetId="7" hidden="1">{"'Grafik Kontrol'!$A$1:$J$8"}</definedName>
    <definedName name="dd" localSheetId="5" hidden="1">{"'Grafik Kontrol'!$A$1:$J$8"}</definedName>
    <definedName name="dd" localSheetId="26" hidden="1">{"'Grafik Kontrol'!$A$1:$J$8"}</definedName>
    <definedName name="dd" localSheetId="21" hidden="1">{"'Grafik Kontrol'!$A$1:$J$8"}</definedName>
    <definedName name="dd" localSheetId="23" hidden="1">{"'Grafik Kontrol'!$A$1:$J$8"}</definedName>
    <definedName name="dd" localSheetId="9" hidden="1">{"'Grafik Kontrol'!$A$1:$J$8"}</definedName>
    <definedName name="dd" localSheetId="19" hidden="1">{"'Grafik Kontrol'!$A$1:$J$8"}</definedName>
    <definedName name="dd" localSheetId="22" hidden="1">{"'Grafik Kontrol'!$A$1:$J$8"}</definedName>
    <definedName name="dd" hidden="1">{"'Grafik Kontrol'!$A$1:$J$8"}</definedName>
    <definedName name="DDS">'[41]ДДС Кореспонденции'!$A$5:$C$9</definedName>
    <definedName name="DebResh">[42]Data!$B$5:$C$36</definedName>
    <definedName name="dec" localSheetId="31">#REF!</definedName>
    <definedName name="dec" localSheetId="42">#REF!</definedName>
    <definedName name="dec" localSheetId="30">#REF!</definedName>
    <definedName name="dec" localSheetId="32">#REF!</definedName>
    <definedName name="dec" localSheetId="43">#REF!</definedName>
    <definedName name="dec" localSheetId="5">#REF!</definedName>
    <definedName name="dec" localSheetId="26">#REF!</definedName>
    <definedName name="dec" localSheetId="9">#REF!</definedName>
    <definedName name="dec" localSheetId="19">#REF!</definedName>
    <definedName name="dec">#REF!</definedName>
    <definedName name="DepreciationBulgaria" localSheetId="31">#REF!</definedName>
    <definedName name="DepreciationBulgaria" localSheetId="42">#REF!</definedName>
    <definedName name="DepreciationBulgaria" localSheetId="30">#REF!</definedName>
    <definedName name="DepreciationBulgaria" localSheetId="32">#REF!</definedName>
    <definedName name="DepreciationBulgaria" localSheetId="43">#REF!</definedName>
    <definedName name="DepreciationBulgaria" localSheetId="5">#REF!</definedName>
    <definedName name="DepreciationBulgaria" localSheetId="26">#REF!</definedName>
    <definedName name="DepreciationBulgaria" localSheetId="9">#REF!</definedName>
    <definedName name="DepreciationBulgaria" localSheetId="19">#REF!</definedName>
    <definedName name="DepreciationBulgaria">#REF!</definedName>
    <definedName name="DepreciationHungary" localSheetId="31">#REF!</definedName>
    <definedName name="DepreciationHungary" localSheetId="42">#REF!</definedName>
    <definedName name="DepreciationHungary" localSheetId="30">#REF!</definedName>
    <definedName name="DepreciationHungary" localSheetId="32">#REF!</definedName>
    <definedName name="DepreciationHungary" localSheetId="43">#REF!</definedName>
    <definedName name="DepreciationHungary" localSheetId="5">#REF!</definedName>
    <definedName name="DepreciationHungary" localSheetId="26">#REF!</definedName>
    <definedName name="DepreciationHungary" localSheetId="9">#REF!</definedName>
    <definedName name="DepreciationHungary" localSheetId="19">#REF!</definedName>
    <definedName name="DepreciationHungary">#REF!</definedName>
    <definedName name="DepreciationRomania" localSheetId="31">#REF!</definedName>
    <definedName name="DepreciationRomania" localSheetId="42">#REF!</definedName>
    <definedName name="DepreciationRomania" localSheetId="30">#REF!</definedName>
    <definedName name="DepreciationRomania" localSheetId="32">#REF!</definedName>
    <definedName name="DepreciationRomania" localSheetId="43">#REF!</definedName>
    <definedName name="DepreciationRomania" localSheetId="5">#REF!</definedName>
    <definedName name="DepreciationRomania" localSheetId="26">#REF!</definedName>
    <definedName name="DepreciationRomania" localSheetId="9">#REF!</definedName>
    <definedName name="DepreciationRomania" localSheetId="19">#REF!</definedName>
    <definedName name="DepreciationRomania">#REF!</definedName>
    <definedName name="DepreciationSerbia" localSheetId="31">#REF!</definedName>
    <definedName name="DepreciationSerbia" localSheetId="42">#REF!</definedName>
    <definedName name="DepreciationSerbia" localSheetId="30">#REF!</definedName>
    <definedName name="DepreciationSerbia" localSheetId="32">#REF!</definedName>
    <definedName name="DepreciationSerbia" localSheetId="43">#REF!</definedName>
    <definedName name="DepreciationSerbia" localSheetId="5">#REF!</definedName>
    <definedName name="DepreciationSerbia" localSheetId="26">#REF!</definedName>
    <definedName name="DepreciationSerbia" localSheetId="9">#REF!</definedName>
    <definedName name="DepreciationSerbia" localSheetId="19">#REF!</definedName>
    <definedName name="DepreciationSerbia">#REF!</definedName>
    <definedName name="DepreciationTurkey" localSheetId="31">#REF!</definedName>
    <definedName name="DepreciationTurkey" localSheetId="42">#REF!</definedName>
    <definedName name="DepreciationTurkey" localSheetId="30">#REF!</definedName>
    <definedName name="DepreciationTurkey" localSheetId="32">#REF!</definedName>
    <definedName name="DepreciationTurkey" localSheetId="43">#REF!</definedName>
    <definedName name="DepreciationTurkey" localSheetId="5">#REF!</definedName>
    <definedName name="DepreciationTurkey" localSheetId="26">#REF!</definedName>
    <definedName name="DepreciationTurkey" localSheetId="9">#REF!</definedName>
    <definedName name="DepreciationTurkey" localSheetId="19">#REF!</definedName>
    <definedName name="DepreciationTurkey">#REF!</definedName>
    <definedName name="Désactiver" localSheetId="31">'4.2 Domestic market stratif'!Désactiver</definedName>
    <definedName name="Désactiver" localSheetId="30">'4.2 Export market stratif '!Désactiver</definedName>
    <definedName name="Désactiver" localSheetId="32">'4.3 Domestic product strati'!Désactiver</definedName>
    <definedName name="Désactiver" localSheetId="7">#N/A</definedName>
    <definedName name="Désactiver" localSheetId="20">'Q1''23 CONSO vs BP Q1''22'!Désactiver</definedName>
    <definedName name="Désactiver" localSheetId="21">'Q1''23 SNA vs BP Q1''22'!Désactiver</definedName>
    <definedName name="Désactiver" localSheetId="23">'Q1''23 SND vs BP Q1''22'!Désactiver</definedName>
    <definedName name="Désactiver" localSheetId="11">'YTD Q1''23 Cons. vs Q1''22'!Désactiver</definedName>
    <definedName name="Désactiver" localSheetId="13">'YTD Sep Cons. vs PY V2'!Désactiver</definedName>
    <definedName name="Désactiver" localSheetId="22">'YTD Sep SND vs PY'!Désactiver</definedName>
    <definedName name="Désactiver">[0]!Désactiver</definedName>
    <definedName name="dfdsa" localSheetId="31" hidden="1">{"'Grafik Kontrol'!$A$1:$J$8"}</definedName>
    <definedName name="dfdsa" localSheetId="42" hidden="1">{"'Grafik Kontrol'!$A$1:$J$8"}</definedName>
    <definedName name="dfdsa" localSheetId="30" hidden="1">{"'Grafik Kontrol'!$A$1:$J$8"}</definedName>
    <definedName name="dfdsa" localSheetId="32" hidden="1">{"'Grafik Kontrol'!$A$1:$J$8"}</definedName>
    <definedName name="dfdsa" localSheetId="43" hidden="1">{"'Grafik Kontrol'!$A$1:$J$8"}</definedName>
    <definedName name="dfdsa" localSheetId="7" hidden="1">{"'Grafik Kontrol'!$A$1:$J$8"}</definedName>
    <definedName name="dfdsa" localSheetId="5" hidden="1">{"'Grafik Kontrol'!$A$1:$J$8"}</definedName>
    <definedName name="dfdsa" localSheetId="26" hidden="1">{"'Grafik Kontrol'!$A$1:$J$8"}</definedName>
    <definedName name="dfdsa" localSheetId="21" hidden="1">{"'Grafik Kontrol'!$A$1:$J$8"}</definedName>
    <definedName name="dfdsa" localSheetId="23" hidden="1">{"'Grafik Kontrol'!$A$1:$J$8"}</definedName>
    <definedName name="dfdsa" localSheetId="9" hidden="1">{"'Grafik Kontrol'!$A$1:$J$8"}</definedName>
    <definedName name="dfdsa" localSheetId="19" hidden="1">{"'Grafik Kontrol'!$A$1:$J$8"}</definedName>
    <definedName name="dfdsa" localSheetId="22" hidden="1">{"'Grafik Kontrol'!$A$1:$J$8"}</definedName>
    <definedName name="dfdsa" hidden="1">{"'Grafik Kontrol'!$A$1:$J$8"}</definedName>
    <definedName name="DiffAmtHeader">'[35]Related parties receivables'!#REF!</definedName>
    <definedName name="Difference" localSheetId="31">#REF!</definedName>
    <definedName name="Difference" localSheetId="42">#REF!</definedName>
    <definedName name="Difference" localSheetId="30">#REF!</definedName>
    <definedName name="Difference" localSheetId="32">#REF!</definedName>
    <definedName name="Difference" localSheetId="43">#REF!</definedName>
    <definedName name="Difference" localSheetId="5">#REF!</definedName>
    <definedName name="Difference" localSheetId="26">#REF!</definedName>
    <definedName name="Difference" localSheetId="9">#REF!</definedName>
    <definedName name="Difference" localSheetId="19">#REF!</definedName>
    <definedName name="Difference">#REF!</definedName>
    <definedName name="DiffPercentHeader">'[35]Related parties receivables'!#REF!</definedName>
    <definedName name="Disaggregations" localSheetId="31">#REF!</definedName>
    <definedName name="Disaggregations" localSheetId="42">#REF!</definedName>
    <definedName name="Disaggregations" localSheetId="30">#REF!</definedName>
    <definedName name="Disaggregations" localSheetId="32">#REF!</definedName>
    <definedName name="Disaggregations" localSheetId="43">#REF!</definedName>
    <definedName name="Disaggregations" localSheetId="5">#REF!</definedName>
    <definedName name="Disaggregations" localSheetId="26">#REF!</definedName>
    <definedName name="Disaggregations" localSheetId="9">#REF!</definedName>
    <definedName name="Disaggregations" localSheetId="19">#REF!</definedName>
    <definedName name="Disaggregations">#REF!</definedName>
    <definedName name="Discount" localSheetId="31" hidden="1">#REF!</definedName>
    <definedName name="Discount" localSheetId="42" hidden="1">#REF!</definedName>
    <definedName name="Discount" localSheetId="30" hidden="1">#REF!</definedName>
    <definedName name="Discount" localSheetId="32" hidden="1">#REF!</definedName>
    <definedName name="Discount" localSheetId="43" hidden="1">#REF!</definedName>
    <definedName name="Discount" localSheetId="5" hidden="1">#REF!</definedName>
    <definedName name="Discount" localSheetId="26" hidden="1">#REF!</definedName>
    <definedName name="Discount" localSheetId="9" hidden="1">#REF!</definedName>
    <definedName name="Discount" localSheetId="19" hidden="1">#REF!</definedName>
    <definedName name="Discount" hidden="1">#REF!</definedName>
    <definedName name="display_area_2" localSheetId="31" hidden="1">#REF!</definedName>
    <definedName name="display_area_2" localSheetId="42" hidden="1">#REF!</definedName>
    <definedName name="display_area_2" localSheetId="30" hidden="1">#REF!</definedName>
    <definedName name="display_area_2" localSheetId="32" hidden="1">#REF!</definedName>
    <definedName name="display_area_2" localSheetId="43" hidden="1">#REF!</definedName>
    <definedName name="display_area_2" localSheetId="5" hidden="1">#REF!</definedName>
    <definedName name="display_area_2" localSheetId="26" hidden="1">#REF!</definedName>
    <definedName name="display_area_2" localSheetId="9" hidden="1">#REF!</definedName>
    <definedName name="display_area_2" localSheetId="19" hidden="1">#REF!</definedName>
    <definedName name="display_area_2" hidden="1">#REF!</definedName>
    <definedName name="Disposals">#REF!</definedName>
    <definedName name="DL1cb26214_050e_4961_a131_b77274d59153" hidden="1">#REF!</definedName>
    <definedName name="DL24fc096d_0d4c_4443_9532_d36de791f8a3" hidden="1">#REF!</definedName>
    <definedName name="DL2726c3d7_b110_4f18_b37d_e098cbd3254d" hidden="1">#REF!</definedName>
    <definedName name="DL29c887c1_cdc0_4c77_bd4e_5f3c421bb5a3" hidden="1">#REF!</definedName>
    <definedName name="DL367af6f4_3c5a_442c_8e6e_5a4fa54d7fab" hidden="1">#REF!</definedName>
    <definedName name="DL451a30b4_4934_450d_80ef_1b042e1824dc" hidden="1">#REF!</definedName>
    <definedName name="DL62f94f34_79c2_45a8_a002_30fd9abb982c" hidden="1">#REF!</definedName>
    <definedName name="DL85bfe7c8_a7cb_4ea1_a7c6_2e4b8bd5c9c8" hidden="1">'[43]Scope &amp; Instruction'!#REF!</definedName>
    <definedName name="DL9956ccf1_1da9_4d75_8fac_cbcc76fa8319" hidden="1">'[44]3. Subsequent cash'!#REF!</definedName>
    <definedName name="DLcb99915e_1668_4bc8_95ef_1cf3800134bd" hidden="1">'[43]Scope &amp; Instruction'!#REF!</definedName>
    <definedName name="DLddd81c7b_4995_4148_bf85_068ff1890379" localSheetId="31" hidden="1">#REF!</definedName>
    <definedName name="DLddd81c7b_4995_4148_bf85_068ff1890379" localSheetId="30" hidden="1">#REF!</definedName>
    <definedName name="DLddd81c7b_4995_4148_bf85_068ff1890379" localSheetId="32" hidden="1">#REF!</definedName>
    <definedName name="DLddd81c7b_4995_4148_bf85_068ff1890379" hidden="1">#REF!</definedName>
    <definedName name="DLe0ad9c12_b702_4b3d_9db2_a5cccb1fd62e" localSheetId="31" hidden="1">#REF!</definedName>
    <definedName name="DLe0ad9c12_b702_4b3d_9db2_a5cccb1fd62e" localSheetId="30" hidden="1">#REF!</definedName>
    <definedName name="DLe0ad9c12_b702_4b3d_9db2_a5cccb1fd62e" localSheetId="32" hidden="1">#REF!</definedName>
    <definedName name="DLe0ad9c12_b702_4b3d_9db2_a5cccb1fd62e" hidden="1">#REF!</definedName>
    <definedName name="DOLARS" localSheetId="31">[17]IdxUsd!#REF!</definedName>
    <definedName name="DOLARS" localSheetId="42">[17]IdxUsd!#REF!</definedName>
    <definedName name="DOLARS" localSheetId="30">[17]IdxUsd!#REF!</definedName>
    <definedName name="DOLARS" localSheetId="32">[17]IdxUsd!#REF!</definedName>
    <definedName name="DOLARS" localSheetId="43">[17]IdxUsd!#REF!</definedName>
    <definedName name="DOLARS" localSheetId="5">[17]IdxUsd!#REF!</definedName>
    <definedName name="DOLARS" localSheetId="26">[28]IdxUsd!#REF!</definedName>
    <definedName name="DOLARS" localSheetId="9">[17]IdxUsd!#REF!</definedName>
    <definedName name="DOLARS" localSheetId="19">[17]IdxUsd!#REF!</definedName>
    <definedName name="DOLARS">[17]IdxUsd!#REF!</definedName>
    <definedName name="Dollar_Threshold" localSheetId="31">#REF!</definedName>
    <definedName name="Dollar_Threshold" localSheetId="30">#REF!</definedName>
    <definedName name="Dollar_Threshold" localSheetId="32">#REF!</definedName>
    <definedName name="Dollar_Threshold">#REF!</definedName>
    <definedName name="Dr121unu" localSheetId="31">[17]Prima!#REF!</definedName>
    <definedName name="Dr121unu" localSheetId="42">[17]Prima!#REF!</definedName>
    <definedName name="Dr121unu" localSheetId="30">[17]Prima!#REF!</definedName>
    <definedName name="Dr121unu" localSheetId="32">[17]Prima!#REF!</definedName>
    <definedName name="Dr121unu" localSheetId="43">[17]Prima!#REF!</definedName>
    <definedName name="Dr121unu" localSheetId="5">[17]Prima!#REF!</definedName>
    <definedName name="Dr121unu" localSheetId="26">[28]Prima!#REF!</definedName>
    <definedName name="Dr121unu" localSheetId="9">[17]Prima!#REF!</definedName>
    <definedName name="Dr121unu" localSheetId="19">[17]Prima!#REF!</definedName>
    <definedName name="Dr121unu">[17]Prima!#REF!</definedName>
    <definedName name="Durata_anni">'[45]Bank Loan existing '!#REF!</definedName>
    <definedName name="Durata_anni__I">'[46]Piano ammort. all''Italiana'!$B$8</definedName>
    <definedName name="Durata_anni_preamm.">'[45]Bank Loan existing '!#REF!</definedName>
    <definedName name="Durata_anni_preamm.__I">'[46]Piano ammort. all''Italiana'!$E$4</definedName>
    <definedName name="Ecr_CodeGroupeAnalyse" localSheetId="9">[47]Ecritures!$A$3</definedName>
    <definedName name="Ecr_CodeGroupeAnalyse" localSheetId="19">[47]Ecritures!$A$3</definedName>
    <definedName name="Ecr_CodeGroupeAnalyse">[48]Ecritures!$A$3</definedName>
    <definedName name="Ecr_Compte" localSheetId="9">[47]Ecritures!$A$2</definedName>
    <definedName name="Ecr_Compte" localSheetId="19">[47]Ecritures!$A$2</definedName>
    <definedName name="Ecr_Compte">[48]Ecritures!$A$2</definedName>
    <definedName name="Ecr_DateDebut" localSheetId="9">[47]Ecritures!$B$5</definedName>
    <definedName name="Ecr_DateDebut" localSheetId="19">[47]Ecritures!$B$5</definedName>
    <definedName name="Ecr_DateDebut">[48]Ecritures!$B$5</definedName>
    <definedName name="Ecr_DateFin" localSheetId="9">[47]Ecritures!$C$5</definedName>
    <definedName name="Ecr_DateFin" localSheetId="19">[47]Ecritures!$C$5</definedName>
    <definedName name="Ecr_DateFin">[48]Ecritures!$C$5</definedName>
    <definedName name="Ecr_LibelleCompte" localSheetId="9">[47]Ecritures!$B$2</definedName>
    <definedName name="Ecr_LibelleCompte" localSheetId="19">[47]Ecritures!$B$2</definedName>
    <definedName name="Ecr_LibelleCompte">[48]Ecritures!$B$2</definedName>
    <definedName name="Ecr_NbLignes" localSheetId="9">[47]Ecritures!$E$3</definedName>
    <definedName name="Ecr_NbLignes" localSheetId="19">[47]Ecritures!$E$3</definedName>
    <definedName name="Ecr_NbLignes">[48]Ecritures!$E$3</definedName>
    <definedName name="Ecr_NomGroupeAnalyse" localSheetId="9">[47]Ecritures!$B$3</definedName>
    <definedName name="Ecr_NomGroupeAnalyse" localSheetId="19">[47]Ecritures!$B$3</definedName>
    <definedName name="Ecr_NomGroupeAnalyse">[48]Ecritures!$B$3</definedName>
    <definedName name="Ecr_TypeEcriture" localSheetId="9">[47]Ecritures!$A$5</definedName>
    <definedName name="Ecr_TypeEcriture" localSheetId="19">[47]Ecritures!$A$5</definedName>
    <definedName name="Ecr_TypeEcriture">[48]Ecritures!$A$5</definedName>
    <definedName name="EcrD_CodeDepartement" localSheetId="9">'[49]Ecritures DET'!$G$2</definedName>
    <definedName name="EcrD_CodeDepartement" localSheetId="19">'[49]Ecritures DET'!$G$2</definedName>
    <definedName name="EcrD_CodeDepartement">'[50]Ecritures DET'!$G$2</definedName>
    <definedName name="EcrD_NomGroupeAnalyse" localSheetId="9">'[49]Ecritures DET'!$I$2</definedName>
    <definedName name="EcrD_NomGroupeAnalyse" localSheetId="19">'[49]Ecritures DET'!$I$2</definedName>
    <definedName name="EcrD_NomGroupeAnalyse">'[50]Ecritures DET'!$I$2</definedName>
    <definedName name="EcrD_NumEcriture" localSheetId="9">'[49]Ecritures DET'!$G$3</definedName>
    <definedName name="EcrD_NumEcriture" localSheetId="19">'[49]Ecritures DET'!$G$3</definedName>
    <definedName name="EcrD_NumEcriture">'[50]Ecritures DET'!$G$3</definedName>
    <definedName name="Ecrx_CodeDepartement" localSheetId="9">[51]EcrituresAux!$A$3</definedName>
    <definedName name="Ecrx_CodeDepartement" localSheetId="19">[51]EcrituresAux!$A$3</definedName>
    <definedName name="Ecrx_CodeDepartement">[52]EcrituresAux!$A$3</definedName>
    <definedName name="Ecrx_CodeGroupeAnalyse" localSheetId="31">#REF!</definedName>
    <definedName name="Ecrx_CodeGroupeAnalyse" localSheetId="30">#REF!</definedName>
    <definedName name="Ecrx_CodeGroupeAnalyse" localSheetId="32">#REF!</definedName>
    <definedName name="Ecrx_CodeGroupeAnalyse">#REF!</definedName>
    <definedName name="Ecrx_CompteAux" localSheetId="9">#REF!</definedName>
    <definedName name="Ecrx_CompteAux" localSheetId="19">#REF!</definedName>
    <definedName name="Ecrx_CompteAux">[52]EcrituresAux!$A$2</definedName>
    <definedName name="EcrX_CompteGen" localSheetId="31">#REF!</definedName>
    <definedName name="EcrX_CompteGen" localSheetId="30">#REF!</definedName>
    <definedName name="EcrX_CompteGen" localSheetId="32">#REF!</definedName>
    <definedName name="EcrX_CompteGen">#REF!</definedName>
    <definedName name="Ecrx_DateDebut" localSheetId="9">[51]EcrituresAux!$B$5</definedName>
    <definedName name="Ecrx_DateDebut" localSheetId="19">[51]EcrituresAux!$B$5</definedName>
    <definedName name="Ecrx_DateDebut">[52]EcrituresAux!$B$5</definedName>
    <definedName name="Ecrx_DateFin" localSheetId="9">#REF!</definedName>
    <definedName name="Ecrx_DateFin" localSheetId="19">#REF!</definedName>
    <definedName name="Ecrx_DateFin">[52]EcrituresAux!$C$5</definedName>
    <definedName name="Ecrx_LibelleCompteAux" localSheetId="9">[51]EcrituresAux!$B$2</definedName>
    <definedName name="Ecrx_LibelleCompteAux" localSheetId="19">[51]EcrituresAux!$B$2</definedName>
    <definedName name="Ecrx_LibelleCompteAux">[52]EcrituresAux!$B$2</definedName>
    <definedName name="Ecrx_NbLignes" localSheetId="9">[51]EcrituresAux!$E$3</definedName>
    <definedName name="Ecrx_NbLignes" localSheetId="19">[51]EcrituresAux!$E$3</definedName>
    <definedName name="Ecrx_NbLignes">[52]EcrituresAux!$E$3</definedName>
    <definedName name="Ecrx_NomGroupeAnalyse" localSheetId="9">[51]EcrituresAux!$B$3</definedName>
    <definedName name="Ecrx_NomGroupeAnalyse" localSheetId="19">[51]EcrituresAux!$B$3</definedName>
    <definedName name="Ecrx_NomGroupeAnalyse">[52]EcrituresAux!$B$3</definedName>
    <definedName name="Ecrx_TypeEcriture" localSheetId="9">#REF!</definedName>
    <definedName name="Ecrx_TypeEcriture" localSheetId="19">#REF!</definedName>
    <definedName name="Ecrx_TypeEcriture">[52]EcrituresAux!$A$5</definedName>
    <definedName name="edition" localSheetId="31">'4.2 Domestic market stratif'!edition</definedName>
    <definedName name="edition" localSheetId="30">'4.2 Export market stratif '!edition</definedName>
    <definedName name="edition" localSheetId="32">'4.3 Domestic product strati'!edition</definedName>
    <definedName name="edition" localSheetId="7">#N/A</definedName>
    <definedName name="edition" localSheetId="20">'Q1''23 CONSO vs BP Q1''22'!edition</definedName>
    <definedName name="edition" localSheetId="21">'Q1''23 SNA vs BP Q1''22'!edition</definedName>
    <definedName name="edition" localSheetId="23">'Q1''23 SND vs BP Q1''22'!edition</definedName>
    <definedName name="edition" localSheetId="11">'YTD Q1''23 Cons. vs Q1''22'!edition</definedName>
    <definedName name="edition" localSheetId="13">'YTD Sep Cons. vs PY V2'!edition</definedName>
    <definedName name="edition" localSheetId="22">'YTD Sep SND vs PY'!edition</definedName>
    <definedName name="edition">[0]!edition</definedName>
    <definedName name="EEE" localSheetId="31" hidden="1">{"'Grafik Kontrol'!$A$1:$J$8"}</definedName>
    <definedName name="EEE" localSheetId="42" hidden="1">{"'Grafik Kontrol'!$A$1:$J$8"}</definedName>
    <definedName name="EEE" localSheetId="30" hidden="1">{"'Grafik Kontrol'!$A$1:$J$8"}</definedName>
    <definedName name="EEE" localSheetId="32" hidden="1">{"'Grafik Kontrol'!$A$1:$J$8"}</definedName>
    <definedName name="EEE" localSheetId="43" hidden="1">{"'Grafik Kontrol'!$A$1:$J$8"}</definedName>
    <definedName name="EEE" localSheetId="7" hidden="1">{"'Grafik Kontrol'!$A$1:$J$8"}</definedName>
    <definedName name="EEE" localSheetId="5" hidden="1">{"'Grafik Kontrol'!$A$1:$J$8"}</definedName>
    <definedName name="EEE" localSheetId="26" hidden="1">{"'Grafik Kontrol'!$A$1:$J$8"}</definedName>
    <definedName name="EEE" localSheetId="21" hidden="1">{"'Grafik Kontrol'!$A$1:$J$8"}</definedName>
    <definedName name="EEE" localSheetId="23" hidden="1">{"'Grafik Kontrol'!$A$1:$J$8"}</definedName>
    <definedName name="EEE" localSheetId="9" hidden="1">{"'Grafik Kontrol'!$A$1:$J$8"}</definedName>
    <definedName name="EEE" localSheetId="19" hidden="1">{"'Grafik Kontrol'!$A$1:$J$8"}</definedName>
    <definedName name="EEE" localSheetId="22" hidden="1">{"'Grafik Kontrol'!$A$1:$J$8"}</definedName>
    <definedName name="EEE" hidden="1">{"'Grafik Kontrol'!$A$1:$J$8"}</definedName>
    <definedName name="EEEE" localSheetId="31" hidden="1">{"'domaće količine'!$K$34:$P$47"}</definedName>
    <definedName name="EEEE" localSheetId="42" hidden="1">{"'domaće količine'!$K$34:$P$47"}</definedName>
    <definedName name="EEEE" localSheetId="30" hidden="1">{"'domaće količine'!$K$34:$P$47"}</definedName>
    <definedName name="EEEE" localSheetId="32" hidden="1">{"'domaće količine'!$K$34:$P$47"}</definedName>
    <definedName name="EEEE" localSheetId="43" hidden="1">{"'domaće količine'!$K$34:$P$47"}</definedName>
    <definedName name="EEEE" localSheetId="7" hidden="1">{"'domaće količine'!$K$34:$P$47"}</definedName>
    <definedName name="EEEE" localSheetId="5" hidden="1">{"'domaće količine'!$K$34:$P$47"}</definedName>
    <definedName name="EEEE" localSheetId="26" hidden="1">{"'domaće količine'!$K$34:$P$47"}</definedName>
    <definedName name="EEEE" localSheetId="21" hidden="1">{"'domaće količine'!$K$34:$P$47"}</definedName>
    <definedName name="EEEE" localSheetId="23" hidden="1">{"'domaće količine'!$K$34:$P$47"}</definedName>
    <definedName name="EEEE" localSheetId="9" hidden="1">{"'domaće količine'!$K$34:$P$47"}</definedName>
    <definedName name="EEEE" localSheetId="19" hidden="1">{"'domaće količine'!$K$34:$P$47"}</definedName>
    <definedName name="EEEE" localSheetId="22" hidden="1">{"'domaće količine'!$K$34:$P$47"}</definedName>
    <definedName name="EEEE" hidden="1">{"'domaće količine'!$K$34:$P$47"}</definedName>
    <definedName name="eeeeeeeeeee" localSheetId="31">'4.2 Domestic market stratif'!eeeeeeeeeee</definedName>
    <definedName name="eeeeeeeeeee" localSheetId="30">'4.2 Export market stratif '!eeeeeeeeeee</definedName>
    <definedName name="eeeeeeeeeee" localSheetId="32">'4.3 Domestic product strati'!eeeeeeeeeee</definedName>
    <definedName name="eeeeeeeeeee" localSheetId="7">#N/A</definedName>
    <definedName name="eeeeeeeeeee" localSheetId="20">'Q1''23 CONSO vs BP Q1''22'!eeeeeeeeeee</definedName>
    <definedName name="eeeeeeeeeee" localSheetId="21">'Q1''23 SNA vs BP Q1''22'!eeeeeeeeeee</definedName>
    <definedName name="eeeeeeeeeee" localSheetId="23">'Q1''23 SND vs BP Q1''22'!eeeeeeeeeee</definedName>
    <definedName name="eeeeeeeeeee" localSheetId="11">'YTD Q1''23 Cons. vs Q1''22'!eeeeeeeeeee</definedName>
    <definedName name="eeeeeeeeeee" localSheetId="13">'YTD Sep Cons. vs PY V2'!eeeeeeeeeee</definedName>
    <definedName name="eeeeeeeeeee" localSheetId="22">'YTD Sep SND vs PY'!eeeeeeeeeee</definedName>
    <definedName name="eeeeeeeeeee">[0]!eeeeeeeeeee</definedName>
    <definedName name="ESTRATEGICO_AYUDA" localSheetId="31">#REF!</definedName>
    <definedName name="ESTRATEGICO_AYUDA" localSheetId="30">#REF!</definedName>
    <definedName name="ESTRATEGICO_AYUDA" localSheetId="32">#REF!</definedName>
    <definedName name="ESTRATEGICO_AYUDA" localSheetId="20">#REF!</definedName>
    <definedName name="ESTRATEGICO_AYUDA" localSheetId="11">#REF!</definedName>
    <definedName name="ESTRATEGICO_AYUDA" localSheetId="13">#REF!</definedName>
    <definedName name="ESTRATEGICO_AYUDA">#REF!</definedName>
    <definedName name="Etc_CodeGroupeAnalyse">#N/A</definedName>
    <definedName name="Etc_Compte">#N/A</definedName>
    <definedName name="ETXAcces">"ETAT.ACC"</definedName>
    <definedName name="EUR" localSheetId="31">#REF!</definedName>
    <definedName name="EUR" localSheetId="42">#REF!</definedName>
    <definedName name="EUR" localSheetId="30">#REF!</definedName>
    <definedName name="EUR" localSheetId="32">#REF!</definedName>
    <definedName name="EUR" localSheetId="43">#REF!</definedName>
    <definedName name="EUR" localSheetId="5">#REF!</definedName>
    <definedName name="EUR" localSheetId="26">#REF!</definedName>
    <definedName name="EUR" localSheetId="9">#REF!</definedName>
    <definedName name="EUR" localSheetId="19">#REF!</definedName>
    <definedName name="EUR">#REF!</definedName>
    <definedName name="EUR_R">1.95583</definedName>
    <definedName name="Evolution" localSheetId="31">'4.2 Domestic market stratif'!Evolution</definedName>
    <definedName name="Evolution" localSheetId="30">'4.2 Export market stratif '!Evolution</definedName>
    <definedName name="Evolution" localSheetId="32">'4.3 Domestic product strati'!Evolution</definedName>
    <definedName name="Evolution" localSheetId="7">#N/A</definedName>
    <definedName name="Evolution" localSheetId="20">'Q1''23 CONSO vs BP Q1''22'!Evolution</definedName>
    <definedName name="Evolution" localSheetId="21">'Q1''23 SNA vs BP Q1''22'!Evolution</definedName>
    <definedName name="Evolution" localSheetId="23">'Q1''23 SND vs BP Q1''22'!Evolution</definedName>
    <definedName name="Evolution" localSheetId="11">'YTD Q1''23 Cons. vs Q1''22'!Evolution</definedName>
    <definedName name="Evolution" localSheetId="13">'YTD Sep Cons. vs PY V2'!Evolution</definedName>
    <definedName name="Evolution" localSheetId="22">'YTD Sep SND vs PY'!Evolution</definedName>
    <definedName name="Evolution">[0]!Evolution</definedName>
    <definedName name="Excel_BuiltIn_Print_Area_2">NA()</definedName>
    <definedName name="excess_count" localSheetId="31">'[53]3. SA Procedures'!#REF!</definedName>
    <definedName name="excess_count" localSheetId="30">'[53]3. SA Procedures'!#REF!</definedName>
    <definedName name="excess_count" localSheetId="32">'[53]3. SA Procedures'!#REF!</definedName>
    <definedName name="excess_count" localSheetId="7">'[53]3. SA Procedures'!#REF!</definedName>
    <definedName name="excess_count">'[53]3. SA Procedures'!#REF!</definedName>
    <definedName name="f" localSheetId="31" hidden="1">{"'domaće količine'!$K$34:$P$47"}</definedName>
    <definedName name="f" localSheetId="42" hidden="1">{"'domaće količine'!$K$34:$P$47"}</definedName>
    <definedName name="f" localSheetId="30" hidden="1">{"'domaće količine'!$K$34:$P$47"}</definedName>
    <definedName name="f" localSheetId="32" hidden="1">{"'domaće količine'!$K$34:$P$47"}</definedName>
    <definedName name="f" localSheetId="43" hidden="1">{"'domaće količine'!$K$34:$P$47"}</definedName>
    <definedName name="f" localSheetId="7" hidden="1">{"'domaće količine'!$K$34:$P$47"}</definedName>
    <definedName name="f" localSheetId="5" hidden="1">{"'domaće količine'!$K$34:$P$47"}</definedName>
    <definedName name="f" localSheetId="26" hidden="1">{"'domaće količine'!$K$34:$P$47"}</definedName>
    <definedName name="f" localSheetId="21" hidden="1">{"'domaće količine'!$K$34:$P$47"}</definedName>
    <definedName name="f" localSheetId="23" hidden="1">{"'domaće količine'!$K$34:$P$47"}</definedName>
    <definedName name="f" localSheetId="9">{"'domaće količine'!$K$34:$P$47"}</definedName>
    <definedName name="f" localSheetId="19">{"'domaće količine'!$K$34:$P$47"}</definedName>
    <definedName name="f" localSheetId="22" hidden="1">{"'domaće količine'!$K$34:$P$47"}</definedName>
    <definedName name="f" hidden="1">{"'domaće količine'!$K$34:$P$47"}</definedName>
    <definedName name="F_1" localSheetId="20">#REF!</definedName>
    <definedName name="F_1" localSheetId="11">#REF!</definedName>
    <definedName name="F_1" localSheetId="13">#REF!</definedName>
    <definedName name="F_1">#REF!</definedName>
    <definedName name="F_2" localSheetId="20">#REF!</definedName>
    <definedName name="F_2" localSheetId="11">#REF!</definedName>
    <definedName name="F_2" localSheetId="13">#REF!</definedName>
    <definedName name="F_2">#REF!</definedName>
    <definedName name="F_3" localSheetId="20">#REF!</definedName>
    <definedName name="F_3" localSheetId="11">#REF!</definedName>
    <definedName name="F_3" localSheetId="13">#REF!</definedName>
    <definedName name="F_3">#REF!</definedName>
    <definedName name="F_4" localSheetId="20">#REF!</definedName>
    <definedName name="F_4" localSheetId="11">#REF!</definedName>
    <definedName name="F_4" localSheetId="13">#REF!</definedName>
    <definedName name="F_4">#REF!</definedName>
    <definedName name="F_5" localSheetId="20">#REF!</definedName>
    <definedName name="F_5" localSheetId="11">#REF!</definedName>
    <definedName name="F_5" localSheetId="13">#REF!</definedName>
    <definedName name="F_5">#REF!</definedName>
    <definedName name="F_6" localSheetId="20">#REF!</definedName>
    <definedName name="F_6" localSheetId="11">#REF!</definedName>
    <definedName name="F_6" localSheetId="13">#REF!</definedName>
    <definedName name="F_6">#REF!</definedName>
    <definedName name="FCode" localSheetId="31" hidden="1">#REF!</definedName>
    <definedName name="FCode" localSheetId="42" hidden="1">#REF!</definedName>
    <definedName name="FCode" localSheetId="30" hidden="1">#REF!</definedName>
    <definedName name="FCode" localSheetId="32" hidden="1">#REF!</definedName>
    <definedName name="FCode" localSheetId="43" hidden="1">#REF!</definedName>
    <definedName name="FCode" localSheetId="5" hidden="1">#REF!</definedName>
    <definedName name="FCode" localSheetId="26" hidden="1">#REF!</definedName>
    <definedName name="FCode" localSheetId="9" hidden="1">#REF!</definedName>
    <definedName name="FCode" localSheetId="19" hidden="1">#REF!</definedName>
    <definedName name="FCode" hidden="1">#REF!</definedName>
    <definedName name="FEES" localSheetId="20">#REF!</definedName>
    <definedName name="FEES" localSheetId="11">#REF!</definedName>
    <definedName name="FEES" localSheetId="13">#REF!</definedName>
    <definedName name="FEES">#REF!</definedName>
    <definedName name="FI" localSheetId="20">#REF!</definedName>
    <definedName name="FI" localSheetId="11">#REF!</definedName>
    <definedName name="FI" localSheetId="13">#REF!</definedName>
    <definedName name="FI">#REF!</definedName>
    <definedName name="FII" localSheetId="20">#REF!</definedName>
    <definedName name="FII" localSheetId="11">#REF!</definedName>
    <definedName name="FII" localSheetId="13">#REF!</definedName>
    <definedName name="FII">#REF!</definedName>
    <definedName name="FIII" localSheetId="20">#REF!</definedName>
    <definedName name="FIII" localSheetId="11">#REF!</definedName>
    <definedName name="FIII" localSheetId="13">#REF!</definedName>
    <definedName name="FIII">#REF!</definedName>
    <definedName name="Financement" localSheetId="31">'4.2 Domestic market stratif'!Financement</definedName>
    <definedName name="Financement" localSheetId="30">'4.2 Export market stratif '!Financement</definedName>
    <definedName name="Financement" localSheetId="32">'4.3 Domestic product strati'!Financement</definedName>
    <definedName name="Financement" localSheetId="7">#N/A</definedName>
    <definedName name="Financement" localSheetId="20">'Q1''23 CONSO vs BP Q1''22'!Financement</definedName>
    <definedName name="Financement" localSheetId="21">'Q1''23 SNA vs BP Q1''22'!Financement</definedName>
    <definedName name="Financement" localSheetId="23">'Q1''23 SND vs BP Q1''22'!Financement</definedName>
    <definedName name="Financement" localSheetId="11">'YTD Q1''23 Cons. vs Q1''22'!Financement</definedName>
    <definedName name="Financement" localSheetId="13">'YTD Sep Cons. vs PY V2'!Financement</definedName>
    <definedName name="Financement" localSheetId="22">'YTD Sep SND vs PY'!Financement</definedName>
    <definedName name="Financement">[0]!Financement</definedName>
    <definedName name="FIV" localSheetId="31">#REF!</definedName>
    <definedName name="FIV" localSheetId="30">#REF!</definedName>
    <definedName name="FIV" localSheetId="32">#REF!</definedName>
    <definedName name="FIV" localSheetId="20">#REF!</definedName>
    <definedName name="FIV" localSheetId="11">#REF!</definedName>
    <definedName name="FIV" localSheetId="13">#REF!</definedName>
    <definedName name="FIV">#REF!</definedName>
    <definedName name="_xlnm.Recorder" localSheetId="31">#REF!</definedName>
    <definedName name="_xlnm.Recorder" localSheetId="42">#REF!</definedName>
    <definedName name="_xlnm.Recorder" localSheetId="30">#REF!</definedName>
    <definedName name="_xlnm.Recorder" localSheetId="32">#REF!</definedName>
    <definedName name="_xlnm.Recorder" localSheetId="43">#REF!</definedName>
    <definedName name="_xlnm.Recorder" localSheetId="5">#REF!</definedName>
    <definedName name="_xlnm.Recorder" localSheetId="26">#REF!</definedName>
    <definedName name="_xlnm.Recorder" localSheetId="9">#REF!</definedName>
    <definedName name="_xlnm.Recorder" localSheetId="19">#REF!</definedName>
    <definedName name="_xlnm.Recorder">#REF!</definedName>
    <definedName name="FUSIE">'[25](H) DATASHEET'!$A$52:$A$54</definedName>
    <definedName name="FUSIE2">'[25](H) DATASHEET'!$A$57:$A$59</definedName>
    <definedName name="FUSIE3">'[25](H) DATASHEET'!$A$62:$A$64</definedName>
    <definedName name="FV" localSheetId="31">#REF!</definedName>
    <definedName name="FV" localSheetId="30">#REF!</definedName>
    <definedName name="FV" localSheetId="32">#REF!</definedName>
    <definedName name="FV" localSheetId="20">#REF!</definedName>
    <definedName name="FV" localSheetId="11">#REF!</definedName>
    <definedName name="FV" localSheetId="13">#REF!</definedName>
    <definedName name="FV">#REF!</definedName>
    <definedName name="FVI" localSheetId="20">#REF!</definedName>
    <definedName name="FVI" localSheetId="11">#REF!</definedName>
    <definedName name="FVI" localSheetId="13">#REF!</definedName>
    <definedName name="FVI">#REF!</definedName>
    <definedName name="fx">[54]Loans!$C$1</definedName>
    <definedName name="Garde" localSheetId="31">'4.2 Domestic market stratif'!Garde</definedName>
    <definedName name="Garde" localSheetId="30">'4.2 Export market stratif '!Garde</definedName>
    <definedName name="Garde" localSheetId="32">'4.3 Domestic product strati'!Garde</definedName>
    <definedName name="Garde" localSheetId="7">#N/A</definedName>
    <definedName name="Garde" localSheetId="20">'Q1''23 CONSO vs BP Q1''22'!Garde</definedName>
    <definedName name="Garde" localSheetId="21">'Q1''23 SNA vs BP Q1''22'!Garde</definedName>
    <definedName name="Garde" localSheetId="23">'Q1''23 SND vs BP Q1''22'!Garde</definedName>
    <definedName name="Garde" localSheetId="11">'YTD Q1''23 Cons. vs Q1''22'!Garde</definedName>
    <definedName name="Garde" localSheetId="13">'YTD Sep Cons. vs PY V2'!Garde</definedName>
    <definedName name="Garde" localSheetId="22">'YTD Sep SND vs PY'!Garde</definedName>
    <definedName name="Garde">[0]!Garde</definedName>
    <definedName name="GELLL" localSheetId="31" hidden="1">{"'Grafik Kontrol'!$A$1:$J$8"}</definedName>
    <definedName name="GELLL" localSheetId="42" hidden="1">{"'Grafik Kontrol'!$A$1:$J$8"}</definedName>
    <definedName name="GELLL" localSheetId="30" hidden="1">{"'Grafik Kontrol'!$A$1:$J$8"}</definedName>
    <definedName name="GELLL" localSheetId="32" hidden="1">{"'Grafik Kontrol'!$A$1:$J$8"}</definedName>
    <definedName name="GELLL" localSheetId="43" hidden="1">{"'Grafik Kontrol'!$A$1:$J$8"}</definedName>
    <definedName name="GELLL" localSheetId="7" hidden="1">{"'Grafik Kontrol'!$A$1:$J$8"}</definedName>
    <definedName name="GELLL" localSheetId="5" hidden="1">{"'Grafik Kontrol'!$A$1:$J$8"}</definedName>
    <definedName name="GELLL" localSheetId="26" hidden="1">{"'Grafik Kontrol'!$A$1:$J$8"}</definedName>
    <definedName name="GELLL" localSheetId="21" hidden="1">{"'Grafik Kontrol'!$A$1:$J$8"}</definedName>
    <definedName name="GELLL" localSheetId="23" hidden="1">{"'Grafik Kontrol'!$A$1:$J$8"}</definedName>
    <definedName name="GELLL" localSheetId="9" hidden="1">{"'Grafik Kontrol'!$A$1:$J$8"}</definedName>
    <definedName name="GELLL" localSheetId="19" hidden="1">{"'Grafik Kontrol'!$A$1:$J$8"}</definedName>
    <definedName name="GELLL" localSheetId="22" hidden="1">{"'Grafik Kontrol'!$A$1:$J$8"}</definedName>
    <definedName name="GELLL" hidden="1">{"'Grafik Kontrol'!$A$1:$J$8"}</definedName>
    <definedName name="GENERALES_AYUDA" localSheetId="20">#REF!</definedName>
    <definedName name="GENERALES_AYUDA" localSheetId="11">#REF!</definedName>
    <definedName name="GENERALES_AYUDA" localSheetId="13">#REF!</definedName>
    <definedName name="GENERALES_AYUDA">#REF!</definedName>
    <definedName name="gf" localSheetId="31" hidden="1">{"'domaće količine'!$K$34:$P$47"}</definedName>
    <definedName name="gf" localSheetId="42" hidden="1">{"'domaće količine'!$K$34:$P$47"}</definedName>
    <definedName name="gf" localSheetId="30" hidden="1">{"'domaće količine'!$K$34:$P$47"}</definedName>
    <definedName name="gf" localSheetId="32" hidden="1">{"'domaće količine'!$K$34:$P$47"}</definedName>
    <definedName name="gf" localSheetId="43" hidden="1">{"'domaće količine'!$K$34:$P$47"}</definedName>
    <definedName name="gf" localSheetId="7" hidden="1">{"'domaće količine'!$K$34:$P$47"}</definedName>
    <definedName name="gf" localSheetId="5" hidden="1">{"'domaće količine'!$K$34:$P$47"}</definedName>
    <definedName name="gf" localSheetId="26" hidden="1">{"'domaće količine'!$K$34:$P$47"}</definedName>
    <definedName name="gf" localSheetId="21" hidden="1">{"'domaće količine'!$K$34:$P$47"}</definedName>
    <definedName name="gf" localSheetId="23" hidden="1">{"'domaće količine'!$K$34:$P$47"}</definedName>
    <definedName name="gf" localSheetId="9" hidden="1">{"'domaće količine'!$K$34:$P$47"}</definedName>
    <definedName name="gf" localSheetId="19" hidden="1">{"'domaće količine'!$K$34:$P$47"}</definedName>
    <definedName name="gf" localSheetId="22" hidden="1">{"'domaće količine'!$K$34:$P$47"}</definedName>
    <definedName name="gf" hidden="1">{"'domaće količine'!$K$34:$P$47"}</definedName>
    <definedName name="GGG" localSheetId="31" hidden="1">{"'Grafik Kontrol'!$A$1:$J$8"}</definedName>
    <definedName name="GGG" localSheetId="42" hidden="1">{"'Grafik Kontrol'!$A$1:$J$8"}</definedName>
    <definedName name="GGG" localSheetId="30" hidden="1">{"'Grafik Kontrol'!$A$1:$J$8"}</definedName>
    <definedName name="GGG" localSheetId="32" hidden="1">{"'Grafik Kontrol'!$A$1:$J$8"}</definedName>
    <definedName name="GGG" localSheetId="43" hidden="1">{"'Grafik Kontrol'!$A$1:$J$8"}</definedName>
    <definedName name="GGG" localSheetId="7" hidden="1">{"'Grafik Kontrol'!$A$1:$J$8"}</definedName>
    <definedName name="GGG" localSheetId="5" hidden="1">{"'Grafik Kontrol'!$A$1:$J$8"}</definedName>
    <definedName name="GGG" localSheetId="26" hidden="1">{"'Grafik Kontrol'!$A$1:$J$8"}</definedName>
    <definedName name="GGG" localSheetId="21" hidden="1">{"'Grafik Kontrol'!$A$1:$J$8"}</definedName>
    <definedName name="GGG" localSheetId="23" hidden="1">{"'Grafik Kontrol'!$A$1:$J$8"}</definedName>
    <definedName name="GGG" localSheetId="9" hidden="1">{"'Grafik Kontrol'!$A$1:$J$8"}</definedName>
    <definedName name="GGG" localSheetId="19" hidden="1">{"'Grafik Kontrol'!$A$1:$J$8"}</definedName>
    <definedName name="GGG" localSheetId="22" hidden="1">{"'Grafik Kontrol'!$A$1:$J$8"}</definedName>
    <definedName name="GGG" hidden="1">{"'Grafik Kontrol'!$A$1:$J$8"}</definedName>
    <definedName name="ghhg" localSheetId="31" hidden="1">{"'Grafik Kontrol'!$A$1:$J$8"}</definedName>
    <definedName name="ghhg" localSheetId="42" hidden="1">{"'Grafik Kontrol'!$A$1:$J$8"}</definedName>
    <definedName name="ghhg" localSheetId="30" hidden="1">{"'Grafik Kontrol'!$A$1:$J$8"}</definedName>
    <definedName name="ghhg" localSheetId="32" hidden="1">{"'Grafik Kontrol'!$A$1:$J$8"}</definedName>
    <definedName name="ghhg" localSheetId="43" hidden="1">{"'Grafik Kontrol'!$A$1:$J$8"}</definedName>
    <definedName name="ghhg" localSheetId="7" hidden="1">{"'Grafik Kontrol'!$A$1:$J$8"}</definedName>
    <definedName name="ghhg" localSheetId="5" hidden="1">{"'Grafik Kontrol'!$A$1:$J$8"}</definedName>
    <definedName name="ghhg" localSheetId="26" hidden="1">{"'Grafik Kontrol'!$A$1:$J$8"}</definedName>
    <definedName name="ghhg" localSheetId="21" hidden="1">{"'Grafik Kontrol'!$A$1:$J$8"}</definedName>
    <definedName name="ghhg" localSheetId="23" hidden="1">{"'Grafik Kontrol'!$A$1:$J$8"}</definedName>
    <definedName name="ghhg" localSheetId="9" hidden="1">{"'Grafik Kontrol'!$A$1:$J$8"}</definedName>
    <definedName name="ghhg" localSheetId="19" hidden="1">{"'Grafik Kontrol'!$A$1:$J$8"}</definedName>
    <definedName name="ghhg" localSheetId="22" hidden="1">{"'Grafik Kontrol'!$A$1:$J$8"}</definedName>
    <definedName name="ghhg" hidden="1">{"'Grafik Kontrol'!$A$1:$J$8"}</definedName>
    <definedName name="HABITACIONES_AYUDA" localSheetId="20">#REF!</definedName>
    <definedName name="HABITACIONES_AYUDA" localSheetId="11">#REF!</definedName>
    <definedName name="HABITACIONES_AYUDA" localSheetId="13">#REF!</definedName>
    <definedName name="HABITACIONES_AYUDA">#REF!</definedName>
    <definedName name="HH" localSheetId="31" hidden="1">{"'Grafik Kontrol'!$A$1:$J$8"}</definedName>
    <definedName name="HH" localSheetId="42" hidden="1">{"'Grafik Kontrol'!$A$1:$J$8"}</definedName>
    <definedName name="HH" localSheetId="30" hidden="1">{"'Grafik Kontrol'!$A$1:$J$8"}</definedName>
    <definedName name="HH" localSheetId="32" hidden="1">{"'Grafik Kontrol'!$A$1:$J$8"}</definedName>
    <definedName name="HH" localSheetId="43" hidden="1">{"'Grafik Kontrol'!$A$1:$J$8"}</definedName>
    <definedName name="HH" localSheetId="7" hidden="1">{"'Grafik Kontrol'!$A$1:$J$8"}</definedName>
    <definedName name="HH" localSheetId="5" hidden="1">{"'Grafik Kontrol'!$A$1:$J$8"}</definedName>
    <definedName name="HH" localSheetId="26" hidden="1">{"'Grafik Kontrol'!$A$1:$J$8"}</definedName>
    <definedName name="HH" localSheetId="21" hidden="1">{"'Grafik Kontrol'!$A$1:$J$8"}</definedName>
    <definedName name="HH" localSheetId="23" hidden="1">{"'Grafik Kontrol'!$A$1:$J$8"}</definedName>
    <definedName name="HH" localSheetId="9" hidden="1">{"'Grafik Kontrol'!$A$1:$J$8"}</definedName>
    <definedName name="HH" localSheetId="19" hidden="1">{"'Grafik Kontrol'!$A$1:$J$8"}</definedName>
    <definedName name="HH" localSheetId="22" hidden="1">{"'Grafik Kontrol'!$A$1:$J$8"}</definedName>
    <definedName name="HH" hidden="1">{"'Grafik Kontrol'!$A$1:$J$8"}</definedName>
    <definedName name="HiddenRows" localSheetId="31" hidden="1">#REF!</definedName>
    <definedName name="HiddenRows" localSheetId="42" hidden="1">#REF!</definedName>
    <definedName name="HiddenRows" localSheetId="30" hidden="1">#REF!</definedName>
    <definedName name="HiddenRows" localSheetId="32" hidden="1">#REF!</definedName>
    <definedName name="HiddenRows" localSheetId="43" hidden="1">#REF!</definedName>
    <definedName name="HiddenRows" localSheetId="5" hidden="1">#REF!</definedName>
    <definedName name="HiddenRows" localSheetId="26" hidden="1">#REF!</definedName>
    <definedName name="HiddenRows" localSheetId="9" hidden="1">#REF!</definedName>
    <definedName name="HiddenRows" localSheetId="19" hidden="1">#REF!</definedName>
    <definedName name="HiddenRows" hidden="1">#REF!</definedName>
    <definedName name="HOJA__COMPARATIVO" localSheetId="20">#REF!</definedName>
    <definedName name="HOJA__COMPARATIVO" localSheetId="11">#REF!</definedName>
    <definedName name="HOJA__COMPARATIVO" localSheetId="13">#REF!</definedName>
    <definedName name="HOJA__COMPARATIVO">#REF!</definedName>
    <definedName name="HTML_CodePage" hidden="1">1250</definedName>
    <definedName name="HTML_Control" localSheetId="31" hidden="1">{"'domaće količine'!$K$34:$P$47"}</definedName>
    <definedName name="HTML_Control" localSheetId="42" hidden="1">{"'domaće količine'!$K$34:$P$47"}</definedName>
    <definedName name="HTML_Control" localSheetId="30" hidden="1">{"'domaće količine'!$K$34:$P$47"}</definedName>
    <definedName name="HTML_Control" localSheetId="32" hidden="1">{"'domaće količine'!$K$34:$P$47"}</definedName>
    <definedName name="HTML_Control" localSheetId="43" hidden="1">{"'domaće količine'!$K$34:$P$47"}</definedName>
    <definedName name="HTML_Control" localSheetId="7" hidden="1">{"'domaće količine'!$K$34:$P$47"}</definedName>
    <definedName name="HTML_Control" localSheetId="5" hidden="1">{"'domaće količine'!$K$34:$P$47"}</definedName>
    <definedName name="HTML_Control" localSheetId="26" hidden="1">{"'domaće količine'!$K$34:$P$47"}</definedName>
    <definedName name="HTML_Control" localSheetId="21" hidden="1">{"'domaće količine'!$K$34:$P$47"}</definedName>
    <definedName name="HTML_Control" localSheetId="23" hidden="1">{"'domaće količine'!$K$34:$P$47"}</definedName>
    <definedName name="HTML_Control" localSheetId="9" hidden="1">{"'domaće količine'!$K$34:$P$47"}</definedName>
    <definedName name="HTML_Control" localSheetId="19" hidden="1">{"'domaće količine'!$K$34:$P$47"}</definedName>
    <definedName name="HTML_Control" localSheetId="22" hidden="1">{"'domaće količine'!$K$34:$P$47"}</definedName>
    <definedName name="HTML_Control" hidden="1">{"'domaće količine'!$K$34:$P$47"}</definedName>
    <definedName name="HTML_Description" hidden="1">""</definedName>
    <definedName name="HTML_Email" hidden="1">""</definedName>
    <definedName name="HTML_Header" hidden="1">"domaće količine"</definedName>
    <definedName name="HTML_LastUpdate" hidden="1">"27.03.2001"</definedName>
    <definedName name="HTML_LineAfter" hidden="1">FALSE</definedName>
    <definedName name="HTML_LineBefore" hidden="1">FALSE</definedName>
    <definedName name="HTML_Name" hidden="1">"Informatika"</definedName>
    <definedName name="HTML_OBDlg2" hidden="1">TRUE</definedName>
    <definedName name="HTML_OBDlg4" hidden="1">TRUE</definedName>
    <definedName name="HTML_OS" hidden="1">0</definedName>
    <definedName name="HTML_PathFile" hidden="1">"C:\My Documents\MyHTML.htm"</definedName>
    <definedName name="HTML_Title" hidden="1">"Moja PRODAJA  II VELJAČA '2001"</definedName>
    <definedName name="ImpGestion" localSheetId="31">'4.2 Domestic market stratif'!ImpGestion</definedName>
    <definedName name="ImpGestion" localSheetId="30">'4.2 Export market stratif '!ImpGestion</definedName>
    <definedName name="ImpGestion" localSheetId="32">'4.3 Domestic product strati'!ImpGestion</definedName>
    <definedName name="ImpGestion" localSheetId="7">#N/A</definedName>
    <definedName name="ImpGestion" localSheetId="20">'Q1''23 CONSO vs BP Q1''22'!ImpGestion</definedName>
    <definedName name="ImpGestion" localSheetId="21">'Q1''23 SNA vs BP Q1''22'!ImpGestion</definedName>
    <definedName name="ImpGestion" localSheetId="23">'Q1''23 SND vs BP Q1''22'!ImpGestion</definedName>
    <definedName name="ImpGestion" localSheetId="11">'YTD Q1''23 Cons. vs Q1''22'!ImpGestion</definedName>
    <definedName name="ImpGestion" localSheetId="13">'YTD Sep Cons. vs PY V2'!ImpGestion</definedName>
    <definedName name="ImpGestion" localSheetId="22">'YTD Sep SND vs PY'!ImpGestion</definedName>
    <definedName name="ImpGestion">[0]!ImpGestion</definedName>
    <definedName name="Impression_Caseàcocher43_QuandClic" localSheetId="31">'4.2 Domestic market stratif'!Impression_Caseàcocher43_QuandClic</definedName>
    <definedName name="Impression_Caseàcocher43_QuandClic" localSheetId="30">'4.2 Export market stratif '!Impression_Caseàcocher43_QuandClic</definedName>
    <definedName name="Impression_Caseàcocher43_QuandClic" localSheetId="32">'4.3 Domestic product strati'!Impression_Caseàcocher43_QuandClic</definedName>
    <definedName name="Impression_Caseàcocher43_QuandClic" localSheetId="7">#N/A</definedName>
    <definedName name="Impression_Caseàcocher43_QuandClic" localSheetId="20">'Q1''23 CONSO vs BP Q1''22'!Impression_Caseàcocher43_QuandClic</definedName>
    <definedName name="Impression_Caseàcocher43_QuandClic" localSheetId="21">'Q1''23 SNA vs BP Q1''22'!Impression_Caseàcocher43_QuandClic</definedName>
    <definedName name="Impression_Caseàcocher43_QuandClic" localSheetId="23">'Q1''23 SND vs BP Q1''22'!Impression_Caseàcocher43_QuandClic</definedName>
    <definedName name="Impression_Caseàcocher43_QuandClic" localSheetId="11">'YTD Q1''23 Cons. vs Q1''22'!Impression_Caseàcocher43_QuandClic</definedName>
    <definedName name="Impression_Caseàcocher43_QuandClic" localSheetId="13">'YTD Sep Cons. vs PY V2'!Impression_Caseàcocher43_QuandClic</definedName>
    <definedName name="Impression_Caseàcocher43_QuandClic" localSheetId="22">'YTD Sep SND vs PY'!Impression_Caseàcocher43_QuandClic</definedName>
    <definedName name="Impression_Caseàcocher43_QuandClic">[0]!Impression_Caseàcocher43_QuandClic</definedName>
    <definedName name="Indicativdoi" localSheetId="31">'[55]Aje PWC 2001'!#REF!</definedName>
    <definedName name="Indicativdoi" localSheetId="42">'[55]Aje PWC 2001'!#REF!</definedName>
    <definedName name="Indicativdoi" localSheetId="30">'[55]Aje PWC 2001'!#REF!</definedName>
    <definedName name="Indicativdoi" localSheetId="32">'[55]Aje PWC 2001'!#REF!</definedName>
    <definedName name="Indicativdoi" localSheetId="43">'[55]Aje PWC 2001'!#REF!</definedName>
    <definedName name="Indicativdoi" localSheetId="5">'[55]Aje PWC 2001'!#REF!</definedName>
    <definedName name="Indicativdoi" localSheetId="26">'[56]Aje PWC 2001'!#REF!</definedName>
    <definedName name="Indicativdoi" localSheetId="9">'[55]Aje PWC 2001'!#REF!</definedName>
    <definedName name="Indicativdoi" localSheetId="19">'[55]Aje PWC 2001'!#REF!</definedName>
    <definedName name="Indicativdoi">'[55]Aje PWC 2001'!#REF!</definedName>
    <definedName name="inf" localSheetId="31">#REF!</definedName>
    <definedName name="inf" localSheetId="42">#REF!</definedName>
    <definedName name="inf" localSheetId="30">#REF!</definedName>
    <definedName name="inf" localSheetId="32">#REF!</definedName>
    <definedName name="inf" localSheetId="43">#REF!</definedName>
    <definedName name="inf" localSheetId="5">#REF!</definedName>
    <definedName name="inf" localSheetId="26">#REF!</definedName>
    <definedName name="inf" localSheetId="9">#REF!</definedName>
    <definedName name="inf" localSheetId="19">#REF!</definedName>
    <definedName name="inf">#REF!</definedName>
    <definedName name="interm_level">#REF!</definedName>
    <definedName name="INTRODUCCION_AYUDA" localSheetId="20">#REF!</definedName>
    <definedName name="INTRODUCCION_AYUDA" localSheetId="11">#REF!</definedName>
    <definedName name="INTRODUCCION_AYUDA" localSheetId="13">#REF!</definedName>
    <definedName name="INTRODUCCION_AYUDA">#REF!</definedName>
    <definedName name="IntroPrintArea" localSheetId="31" hidden="1">#REF!</definedName>
    <definedName name="IntroPrintArea" localSheetId="42" hidden="1">#REF!</definedName>
    <definedName name="IntroPrintArea" localSheetId="30" hidden="1">#REF!</definedName>
    <definedName name="IntroPrintArea" localSheetId="32" hidden="1">#REF!</definedName>
    <definedName name="IntroPrintArea" localSheetId="43" hidden="1">#REF!</definedName>
    <definedName name="IntroPrintArea" localSheetId="5" hidden="1">#REF!</definedName>
    <definedName name="IntroPrintArea" localSheetId="26" hidden="1">#REF!</definedName>
    <definedName name="IntroPrintArea" localSheetId="9" hidden="1">#REF!</definedName>
    <definedName name="IntroPrintArea" localSheetId="19" hidden="1">#REF!</definedName>
    <definedName name="IntroPrintArea" hidden="1">#REF!</definedName>
    <definedName name="InvestmentP" localSheetId="31" hidden="1">{"'domaće količine'!$K$34:$P$47"}</definedName>
    <definedName name="InvestmentP" localSheetId="42" hidden="1">{"'domaće količine'!$K$34:$P$47"}</definedName>
    <definedName name="InvestmentP" localSheetId="30" hidden="1">{"'domaće količine'!$K$34:$P$47"}</definedName>
    <definedName name="InvestmentP" localSheetId="32" hidden="1">{"'domaće količine'!$K$34:$P$47"}</definedName>
    <definedName name="InvestmentP" localSheetId="43" hidden="1">{"'domaće količine'!$K$34:$P$47"}</definedName>
    <definedName name="InvestmentP" localSheetId="7" hidden="1">{"'domaće količine'!$K$34:$P$47"}</definedName>
    <definedName name="InvestmentP" localSheetId="5" hidden="1">{"'domaće količine'!$K$34:$P$47"}</definedName>
    <definedName name="InvestmentP" localSheetId="26" hidden="1">{"'domaće količine'!$K$34:$P$47"}</definedName>
    <definedName name="InvestmentP" localSheetId="21" hidden="1">{"'domaće količine'!$K$34:$P$47"}</definedName>
    <definedName name="InvestmentP" localSheetId="23" hidden="1">{"'domaće količine'!$K$34:$P$47"}</definedName>
    <definedName name="InvestmentP" localSheetId="9" hidden="1">{"'domaće količine'!$K$34:$P$47"}</definedName>
    <definedName name="InvestmentP" localSheetId="19" hidden="1">{"'domaće količine'!$K$34:$P$47"}</definedName>
    <definedName name="InvestmentP" localSheetId="22" hidden="1">{"'domaće količine'!$K$34:$P$47"}</definedName>
    <definedName name="InvestmentP" hidden="1">{"'domaće količine'!$K$34:$P$47"}</definedName>
    <definedName name="IQ_ADDIN" hidden="1">"AUTO"</definedName>
    <definedName name="IQ_CH">110000</definedName>
    <definedName name="IQ_CQ">5000</definedName>
    <definedName name="IQ_CY">10000</definedName>
    <definedName name="IQ_DAILY">500000</definedName>
    <definedName name="IQ_DNTM" hidden="1">700000</definedName>
    <definedName name="IQ_EXPENSE_CODE_" hidden="1">"D078269"</definedName>
    <definedName name="IQ_FH">100000</definedName>
    <definedName name="IQ_FQ">500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Y">1000</definedName>
    <definedName name="IQ_LATESTK" hidden="1">1000</definedName>
    <definedName name="IQ_LATESTQ" hidden="1">500</definedName>
    <definedName name="IQ_LTM">2000</definedName>
    <definedName name="IQ_LTMMONTH" hidden="1">120000</definedName>
    <definedName name="IQ_MONTH">15000</definedName>
    <definedName name="IQ_MTD" hidden="1">800000</definedName>
    <definedName name="IQ_NAMES_REVISION_DATE_" hidden="1">"04/28/2015 09:15:59"</definedName>
    <definedName name="IQ_NTM">6000</definedName>
    <definedName name="IQ_OPENED55" hidden="1">1</definedName>
    <definedName name="IQ_QTD" hidden="1">750000</definedName>
    <definedName name="IQ_TODAY" hidden="1">0</definedName>
    <definedName name="IQ_WEEK">50000</definedName>
    <definedName name="IQ_YTD">3000</definedName>
    <definedName name="IQ_YTDMONTH" hidden="1">130000</definedName>
    <definedName name="İŞŞL" localSheetId="31" hidden="1">{"'Grafik Kontrol'!$A$1:$J$8"}</definedName>
    <definedName name="İŞŞL" localSheetId="42" hidden="1">{"'Grafik Kontrol'!$A$1:$J$8"}</definedName>
    <definedName name="İŞŞL" localSheetId="30" hidden="1">{"'Grafik Kontrol'!$A$1:$J$8"}</definedName>
    <definedName name="İŞŞL" localSheetId="32" hidden="1">{"'Grafik Kontrol'!$A$1:$J$8"}</definedName>
    <definedName name="İŞŞL" localSheetId="43" hidden="1">{"'Grafik Kontrol'!$A$1:$J$8"}</definedName>
    <definedName name="İŞŞL" localSheetId="7" hidden="1">{"'Grafik Kontrol'!$A$1:$J$8"}</definedName>
    <definedName name="İŞŞL" localSheetId="5" hidden="1">{"'Grafik Kontrol'!$A$1:$J$8"}</definedName>
    <definedName name="İŞŞL" localSheetId="26" hidden="1">{"'Grafik Kontrol'!$A$1:$J$8"}</definedName>
    <definedName name="İŞŞL" localSheetId="21" hidden="1">{"'Grafik Kontrol'!$A$1:$J$8"}</definedName>
    <definedName name="İŞŞL" localSheetId="23" hidden="1">{"'Grafik Kontrol'!$A$1:$J$8"}</definedName>
    <definedName name="İŞŞL" localSheetId="9" hidden="1">{"'Grafik Kontrol'!$A$1:$J$8"}</definedName>
    <definedName name="İŞŞL" localSheetId="19" hidden="1">{"'Grafik Kontrol'!$A$1:$J$8"}</definedName>
    <definedName name="İŞŞL" localSheetId="22" hidden="1">{"'Grafik Kontrol'!$A$1:$J$8"}</definedName>
    <definedName name="İŞŞL" hidden="1">{"'Grafik Kontrol'!$A$1:$J$8"}</definedName>
    <definedName name="IVANA" localSheetId="31" hidden="1">{"'domaće količine'!$K$34:$P$47"}</definedName>
    <definedName name="IVANA" localSheetId="42" hidden="1">{"'domaće količine'!$K$34:$P$47"}</definedName>
    <definedName name="IVANA" localSheetId="30" hidden="1">{"'domaće količine'!$K$34:$P$47"}</definedName>
    <definedName name="IVANA" localSheetId="32" hidden="1">{"'domaće količine'!$K$34:$P$47"}</definedName>
    <definedName name="IVANA" localSheetId="43" hidden="1">{"'domaće količine'!$K$34:$P$47"}</definedName>
    <definedName name="IVANA" localSheetId="7" hidden="1">{"'domaće količine'!$K$34:$P$47"}</definedName>
    <definedName name="IVANA" localSheetId="5" hidden="1">{"'domaće količine'!$K$34:$P$47"}</definedName>
    <definedName name="IVANA" localSheetId="26" hidden="1">{"'domaće količine'!$K$34:$P$47"}</definedName>
    <definedName name="IVANA" localSheetId="21" hidden="1">{"'domaće količine'!$K$34:$P$47"}</definedName>
    <definedName name="IVANA" localSheetId="23" hidden="1">{"'domaće količine'!$K$34:$P$47"}</definedName>
    <definedName name="IVANA" localSheetId="9" hidden="1">{"'domaće količine'!$K$34:$P$47"}</definedName>
    <definedName name="IVANA" localSheetId="19" hidden="1">{"'domaće količine'!$K$34:$P$47"}</definedName>
    <definedName name="IVANA" localSheetId="22" hidden="1">{"'domaće količine'!$K$34:$P$47"}</definedName>
    <definedName name="IVANA" hidden="1">{"'domaće količine'!$K$34:$P$47"}</definedName>
    <definedName name="j" localSheetId="31" hidden="1">{"'Grafik Kontrol'!$A$1:$J$8"}</definedName>
    <definedName name="j" localSheetId="42" hidden="1">{"'Grafik Kontrol'!$A$1:$J$8"}</definedName>
    <definedName name="j" localSheetId="30" hidden="1">{"'Grafik Kontrol'!$A$1:$J$8"}</definedName>
    <definedName name="j" localSheetId="32" hidden="1">{"'Grafik Kontrol'!$A$1:$J$8"}</definedName>
    <definedName name="j" localSheetId="43" hidden="1">{"'Grafik Kontrol'!$A$1:$J$8"}</definedName>
    <definedName name="j" localSheetId="7" hidden="1">{"'Grafik Kontrol'!$A$1:$J$8"}</definedName>
    <definedName name="j" localSheetId="5" hidden="1">{"'Grafik Kontrol'!$A$1:$J$8"}</definedName>
    <definedName name="j" localSheetId="26" hidden="1">{"'Grafik Kontrol'!$A$1:$J$8"}</definedName>
    <definedName name="j" localSheetId="21" hidden="1">{"'Grafik Kontrol'!$A$1:$J$8"}</definedName>
    <definedName name="j" localSheetId="23" hidden="1">{"'Grafik Kontrol'!$A$1:$J$8"}</definedName>
    <definedName name="j" localSheetId="9" hidden="1">{"'Grafik Kontrol'!$A$1:$J$8"}</definedName>
    <definedName name="j" localSheetId="19" hidden="1">{"'Grafik Kontrol'!$A$1:$J$8"}</definedName>
    <definedName name="j" localSheetId="22" hidden="1">{"'Grafik Kontrol'!$A$1:$J$8"}</definedName>
    <definedName name="j" hidden="1">{"'Grafik Kontrol'!$A$1:$J$8"}</definedName>
    <definedName name="JA">'[25](H) DATASHEET'!$A$68</definedName>
    <definedName name="JAARSTUK">'[25](H) DATASHEET'!$A$16:$A$18</definedName>
    <definedName name="JUSTIFICACIÓN_AYUDA" localSheetId="31">#REF!</definedName>
    <definedName name="JUSTIFICACIÓN_AYUDA" localSheetId="30">#REF!</definedName>
    <definedName name="JUSTIFICACIÓN_AYUDA" localSheetId="32">#REF!</definedName>
    <definedName name="JUSTIFICACIÓN_AYUDA" localSheetId="20">#REF!</definedName>
    <definedName name="JUSTIFICACIÓN_AYUDA" localSheetId="11">#REF!</definedName>
    <definedName name="JUSTIFICACIÓN_AYUDA" localSheetId="13">#REF!</definedName>
    <definedName name="JUSTIFICACIÓN_AYUDA">#REF!</definedName>
    <definedName name="K" localSheetId="31" hidden="1">{"'Grafik Kontrol'!$A$1:$J$8"}</definedName>
    <definedName name="K" localSheetId="42" hidden="1">{"'Grafik Kontrol'!$A$1:$J$8"}</definedName>
    <definedName name="K" localSheetId="30" hidden="1">{"'Grafik Kontrol'!$A$1:$J$8"}</definedName>
    <definedName name="K" localSheetId="32" hidden="1">{"'Grafik Kontrol'!$A$1:$J$8"}</definedName>
    <definedName name="K" localSheetId="43" hidden="1">{"'Grafik Kontrol'!$A$1:$J$8"}</definedName>
    <definedName name="K" localSheetId="7" hidden="1">{"'Grafik Kontrol'!$A$1:$J$8"}</definedName>
    <definedName name="K" localSheetId="5" hidden="1">{"'Grafik Kontrol'!$A$1:$J$8"}</definedName>
    <definedName name="K" localSheetId="26" hidden="1">{"'Grafik Kontrol'!$A$1:$J$8"}</definedName>
    <definedName name="K" localSheetId="21" hidden="1">{"'Grafik Kontrol'!$A$1:$J$8"}</definedName>
    <definedName name="K" localSheetId="23" hidden="1">{"'Grafik Kontrol'!$A$1:$J$8"}</definedName>
    <definedName name="K" localSheetId="9" hidden="1">{"'Grafik Kontrol'!$A$1:$J$8"}</definedName>
    <definedName name="K" localSheetId="19" hidden="1">{"'Grafik Kontrol'!$A$1:$J$8"}</definedName>
    <definedName name="K" localSheetId="22" hidden="1">{"'Grafik Kontrol'!$A$1:$J$8"}</definedName>
    <definedName name="K" hidden="1">{"'Grafik Kontrol'!$A$1:$J$8"}</definedName>
    <definedName name="L_Adjust">[57]Links!$H:$H</definedName>
    <definedName name="L_AJE_Tot">[57]Links!$G:$G</definedName>
    <definedName name="L_CY_Beg">[57]Links!$F:$F</definedName>
    <definedName name="L_CY_End">[57]Links!$J:$J</definedName>
    <definedName name="L_PY_End">[57]Links!$K:$K</definedName>
    <definedName name="L_RJE_Tot">[57]Links!$I:$I</definedName>
    <definedName name="Levels">'[53]3. SA Procedures'!#REF!</definedName>
    <definedName name="Link1" localSheetId="31">#REF!</definedName>
    <definedName name="Link1" localSheetId="30">#REF!</definedName>
    <definedName name="Link1" localSheetId="32">#REF!</definedName>
    <definedName name="Link1">#REF!</definedName>
    <definedName name="Link2" localSheetId="31">#REF!</definedName>
    <definedName name="Link2" localSheetId="30">#REF!</definedName>
    <definedName name="Link2" localSheetId="32">#REF!</definedName>
    <definedName name="Link2">#REF!</definedName>
    <definedName name="Link3" localSheetId="31">#REF!</definedName>
    <definedName name="Link3" localSheetId="30">#REF!</definedName>
    <definedName name="Link3" localSheetId="32">#REF!</definedName>
    <definedName name="Link3">#REF!</definedName>
    <definedName name="Link4">#REF!</definedName>
    <definedName name="Link5">#REF!</definedName>
    <definedName name="Link6">#REF!</definedName>
    <definedName name="Link7">#REF!</definedName>
    <definedName name="Link8">#REF!</definedName>
    <definedName name="Link9">#REF!</definedName>
    <definedName name="List1">#REF!</definedName>
    <definedName name="List2">#REF!</definedName>
    <definedName name="List3">#REF!</definedName>
    <definedName name="LitersPerTon" localSheetId="31">#REF!</definedName>
    <definedName name="LitersPerTon" localSheetId="42">#REF!</definedName>
    <definedName name="LitersPerTon" localSheetId="30">#REF!</definedName>
    <definedName name="LitersPerTon" localSheetId="32">#REF!</definedName>
    <definedName name="LitersPerTon" localSheetId="43">#REF!</definedName>
    <definedName name="LitersPerTon" localSheetId="5">#REF!</definedName>
    <definedName name="LitersPerTon" localSheetId="26">#REF!</definedName>
    <definedName name="LitersPerTon" localSheetId="9">#REF!</definedName>
    <definedName name="LitersPerTon" localSheetId="19">#REF!</definedName>
    <definedName name="LitersPerTon">#REF!</definedName>
    <definedName name="M" localSheetId="20">#REF!</definedName>
    <definedName name="M" localSheetId="11">#REF!</definedName>
    <definedName name="M" localSheetId="13">#REF!</definedName>
    <definedName name="M">#REF!</definedName>
    <definedName name="macro." localSheetId="31">'4.2 Domestic market stratif'!macro.</definedName>
    <definedName name="macro." localSheetId="30">'4.2 Export market stratif '!macro.</definedName>
    <definedName name="macro." localSheetId="32">'4.3 Domestic product strati'!macro.</definedName>
    <definedName name="macro." localSheetId="7">#N/A</definedName>
    <definedName name="macro." localSheetId="20">'Q1''23 CONSO vs BP Q1''22'!macro.</definedName>
    <definedName name="macro." localSheetId="21">'Q1''23 SNA vs BP Q1''22'!macro.</definedName>
    <definedName name="macro." localSheetId="23">'Q1''23 SND vs BP Q1''22'!macro.</definedName>
    <definedName name="macro." localSheetId="11">'YTD Q1''23 Cons. vs Q1''22'!macro.</definedName>
    <definedName name="macro." localSheetId="13">'YTD Sep Cons. vs PY V2'!macro.</definedName>
    <definedName name="macro." localSheetId="22">'YTD Sep SND vs PY'!macro.</definedName>
    <definedName name="macro.">[0]!macro.</definedName>
    <definedName name="Macros.bilan" localSheetId="31">'4.2 Domestic market stratif'!Macros.bilan</definedName>
    <definedName name="Macros.bilan" localSheetId="30">'4.2 Export market stratif '!Macros.bilan</definedName>
    <definedName name="Macros.bilan" localSheetId="32">'4.3 Domestic product strati'!Macros.bilan</definedName>
    <definedName name="Macros.bilan" localSheetId="7">#N/A</definedName>
    <definedName name="Macros.bilan" localSheetId="20">'Q1''23 CONSO vs BP Q1''22'!Macros.bilan</definedName>
    <definedName name="Macros.bilan" localSheetId="21">'Q1''23 SNA vs BP Q1''22'!Macros.bilan</definedName>
    <definedName name="Macros.bilan" localSheetId="23">'Q1''23 SND vs BP Q1''22'!Macros.bilan</definedName>
    <definedName name="Macros.bilan" localSheetId="11">'YTD Q1''23 Cons. vs Q1''22'!Macros.bilan</definedName>
    <definedName name="Macros.bilan" localSheetId="13">'YTD Sep Cons. vs PY V2'!Macros.bilan</definedName>
    <definedName name="Macros.bilan" localSheetId="22">'YTD Sep SND vs PY'!Macros.bilan</definedName>
    <definedName name="Macros.bilan">[0]!Macros.bilan</definedName>
    <definedName name="Macros.Charges" localSheetId="31">'4.2 Domestic market stratif'!Macros.Charges</definedName>
    <definedName name="Macros.Charges" localSheetId="30">'4.2 Export market stratif '!Macros.Charges</definedName>
    <definedName name="Macros.Charges" localSheetId="32">'4.3 Domestic product strati'!Macros.Charges</definedName>
    <definedName name="Macros.Charges" localSheetId="7">#N/A</definedName>
    <definedName name="Macros.Charges" localSheetId="20">'Q1''23 CONSO vs BP Q1''22'!Macros.Charges</definedName>
    <definedName name="Macros.Charges" localSheetId="21">'Q1''23 SNA vs BP Q1''22'!Macros.Charges</definedName>
    <definedName name="Macros.Charges" localSheetId="23">'Q1''23 SND vs BP Q1''22'!Macros.Charges</definedName>
    <definedName name="Macros.Charges" localSheetId="11">'YTD Q1''23 Cons. vs Q1''22'!Macros.Charges</definedName>
    <definedName name="Macros.Charges" localSheetId="13">'YTD Sep Cons. vs PY V2'!Macros.Charges</definedName>
    <definedName name="Macros.Charges" localSheetId="22">'YTD Sep SND vs PY'!Macros.Charges</definedName>
    <definedName name="Macros.Charges">[0]!Macros.Charges</definedName>
    <definedName name="Macros.Commentaires" localSheetId="31">'4.2 Domestic market stratif'!Macros.Commentaires</definedName>
    <definedName name="Macros.Commentaires" localSheetId="30">'4.2 Export market stratif '!Macros.Commentaires</definedName>
    <definedName name="Macros.Commentaires" localSheetId="32">'4.3 Domestic product strati'!Macros.Commentaires</definedName>
    <definedName name="Macros.Commentaires" localSheetId="7">#N/A</definedName>
    <definedName name="Macros.Commentaires" localSheetId="20">'Q1''23 CONSO vs BP Q1''22'!Macros.Commentaires</definedName>
    <definedName name="Macros.Commentaires" localSheetId="21">'Q1''23 SNA vs BP Q1''22'!Macros.Commentaires</definedName>
    <definedName name="Macros.Commentaires" localSheetId="23">'Q1''23 SND vs BP Q1''22'!Macros.Commentaires</definedName>
    <definedName name="Macros.Commentaires" localSheetId="11">'YTD Q1''23 Cons. vs Q1''22'!Macros.Commentaires</definedName>
    <definedName name="Macros.Commentaires" localSheetId="13">'YTD Sep Cons. vs PY V2'!Macros.Commentaires</definedName>
    <definedName name="Macros.Commentaires" localSheetId="22">'YTD Sep SND vs PY'!Macros.Commentaires</definedName>
    <definedName name="Macros.Commentaires">[0]!Macros.Commentaires</definedName>
    <definedName name="Macros.Désactiver" localSheetId="31">'4.2 Domestic market stratif'!Macros.Désactiver</definedName>
    <definedName name="Macros.Désactiver" localSheetId="30">'4.2 Export market stratif '!Macros.Désactiver</definedName>
    <definedName name="Macros.Désactiver" localSheetId="32">'4.3 Domestic product strati'!Macros.Désactiver</definedName>
    <definedName name="Macros.Désactiver" localSheetId="7">#N/A</definedName>
    <definedName name="Macros.Désactiver" localSheetId="20">'Q1''23 CONSO vs BP Q1''22'!Macros.Désactiver</definedName>
    <definedName name="Macros.Désactiver" localSheetId="21">'Q1''23 SNA vs BP Q1''22'!Macros.Désactiver</definedName>
    <definedName name="Macros.Désactiver" localSheetId="23">'Q1''23 SND vs BP Q1''22'!Macros.Désactiver</definedName>
    <definedName name="Macros.Désactiver" localSheetId="11">'YTD Q1''23 Cons. vs Q1''22'!Macros.Désactiver</definedName>
    <definedName name="Macros.Désactiver" localSheetId="13">'YTD Sep Cons. vs PY V2'!Macros.Désactiver</definedName>
    <definedName name="Macros.Désactiver" localSheetId="22">'YTD Sep SND vs PY'!Macros.Désactiver</definedName>
    <definedName name="Macros.Désactiver">[0]!Macros.Désactiver</definedName>
    <definedName name="Macros.Detail" localSheetId="31">'4.2 Domestic market stratif'!Macros.Detail</definedName>
    <definedName name="Macros.Detail" localSheetId="30">'4.2 Export market stratif '!Macros.Detail</definedName>
    <definedName name="Macros.Detail" localSheetId="32">'4.3 Domestic product strati'!Macros.Detail</definedName>
    <definedName name="Macros.Detail" localSheetId="7">#N/A</definedName>
    <definedName name="Macros.Detail" localSheetId="20">'Q1''23 CONSO vs BP Q1''22'!Macros.Detail</definedName>
    <definedName name="Macros.Detail" localSheetId="21">'Q1''23 SNA vs BP Q1''22'!Macros.Detail</definedName>
    <definedName name="Macros.Detail" localSheetId="23">'Q1''23 SND vs BP Q1''22'!Macros.Detail</definedName>
    <definedName name="Macros.Detail" localSheetId="11">'YTD Q1''23 Cons. vs Q1''22'!Macros.Detail</definedName>
    <definedName name="Macros.Detail" localSheetId="13">'YTD Sep Cons. vs PY V2'!Macros.Detail</definedName>
    <definedName name="Macros.Detail" localSheetId="22">'YTD Sep SND vs PY'!Macros.Detail</definedName>
    <definedName name="Macros.Detail">[0]!Macros.Detail</definedName>
    <definedName name="Macros.Evolution" localSheetId="31">'4.2 Domestic market stratif'!Macros.Evolution</definedName>
    <definedName name="Macros.Evolution" localSheetId="30">'4.2 Export market stratif '!Macros.Evolution</definedName>
    <definedName name="Macros.Evolution" localSheetId="32">'4.3 Domestic product strati'!Macros.Evolution</definedName>
    <definedName name="Macros.Evolution" localSheetId="7">#N/A</definedName>
    <definedName name="Macros.Evolution" localSheetId="20">'Q1''23 CONSO vs BP Q1''22'!Macros.Evolution</definedName>
    <definedName name="Macros.Evolution" localSheetId="21">'Q1''23 SNA vs BP Q1''22'!Macros.Evolution</definedName>
    <definedName name="Macros.Evolution" localSheetId="23">'Q1''23 SND vs BP Q1''22'!Macros.Evolution</definedName>
    <definedName name="Macros.Evolution" localSheetId="11">'YTD Q1''23 Cons. vs Q1''22'!Macros.Evolution</definedName>
    <definedName name="Macros.Evolution" localSheetId="13">'YTD Sep Cons. vs PY V2'!Macros.Evolution</definedName>
    <definedName name="Macros.Evolution" localSheetId="22">'YTD Sep SND vs PY'!Macros.Evolution</definedName>
    <definedName name="Macros.Evolution">[0]!Macros.Evolution</definedName>
    <definedName name="Macros.Financement" localSheetId="31">'4.2 Domestic market stratif'!Macros.Financement</definedName>
    <definedName name="Macros.Financement" localSheetId="30">'4.2 Export market stratif '!Macros.Financement</definedName>
    <definedName name="Macros.Financement" localSheetId="32">'4.3 Domestic product strati'!Macros.Financement</definedName>
    <definedName name="Macros.Financement" localSheetId="7">#N/A</definedName>
    <definedName name="Macros.Financement" localSheetId="20">'Q1''23 CONSO vs BP Q1''22'!Macros.Financement</definedName>
    <definedName name="Macros.Financement" localSheetId="21">'Q1''23 SNA vs BP Q1''22'!Macros.Financement</definedName>
    <definedName name="Macros.Financement" localSheetId="23">'Q1''23 SND vs BP Q1''22'!Macros.Financement</definedName>
    <definedName name="Macros.Financement" localSheetId="11">'YTD Q1''23 Cons. vs Q1''22'!Macros.Financement</definedName>
    <definedName name="Macros.Financement" localSheetId="13">'YTD Sep Cons. vs PY V2'!Macros.Financement</definedName>
    <definedName name="Macros.Financement" localSheetId="22">'YTD Sep SND vs PY'!Macros.Financement</definedName>
    <definedName name="Macros.Financement">[0]!Macros.Financement</definedName>
    <definedName name="Macros.Garde" localSheetId="31">'4.2 Domestic market stratif'!Macros.Garde</definedName>
    <definedName name="Macros.Garde" localSheetId="30">'4.2 Export market stratif '!Macros.Garde</definedName>
    <definedName name="Macros.Garde" localSheetId="32">'4.3 Domestic product strati'!Macros.Garde</definedName>
    <definedName name="Macros.Garde" localSheetId="7">#N/A</definedName>
    <definedName name="Macros.Garde" localSheetId="20">'Q1''23 CONSO vs BP Q1''22'!Macros.Garde</definedName>
    <definedName name="Macros.Garde" localSheetId="21">'Q1''23 SNA vs BP Q1''22'!Macros.Garde</definedName>
    <definedName name="Macros.Garde" localSheetId="23">'Q1''23 SND vs BP Q1''22'!Macros.Garde</definedName>
    <definedName name="Macros.Garde" localSheetId="11">'YTD Q1''23 Cons. vs Q1''22'!Macros.Garde</definedName>
    <definedName name="Macros.Garde" localSheetId="13">'YTD Sep Cons. vs PY V2'!Macros.Garde</definedName>
    <definedName name="Macros.Garde" localSheetId="22">'YTD Sep SND vs PY'!Macros.Garde</definedName>
    <definedName name="Macros.Garde">[0]!Macros.Garde</definedName>
    <definedName name="Macros.ratio1" localSheetId="31">'4.2 Domestic market stratif'!Macros.ratio1</definedName>
    <definedName name="Macros.ratio1" localSheetId="30">'4.2 Export market stratif '!Macros.ratio1</definedName>
    <definedName name="Macros.ratio1" localSheetId="32">'4.3 Domestic product strati'!Macros.ratio1</definedName>
    <definedName name="Macros.ratio1" localSheetId="7">#N/A</definedName>
    <definedName name="Macros.ratio1" localSheetId="20">'Q1''23 CONSO vs BP Q1''22'!Macros.ratio1</definedName>
    <definedName name="Macros.ratio1" localSheetId="21">'Q1''23 SNA vs BP Q1''22'!Macros.ratio1</definedName>
    <definedName name="Macros.ratio1" localSheetId="23">'Q1''23 SND vs BP Q1''22'!Macros.ratio1</definedName>
    <definedName name="Macros.ratio1" localSheetId="11">'YTD Q1''23 Cons. vs Q1''22'!Macros.ratio1</definedName>
    <definedName name="Macros.ratio1" localSheetId="13">'YTD Sep Cons. vs PY V2'!Macros.ratio1</definedName>
    <definedName name="Macros.ratio1" localSheetId="22">'YTD Sep SND vs PY'!Macros.ratio1</definedName>
    <definedName name="Macros.ratio1">[0]!Macros.ratio1</definedName>
    <definedName name="Macros.ratio2" localSheetId="31">'4.2 Domestic market stratif'!Macros.ratio2</definedName>
    <definedName name="Macros.ratio2" localSheetId="30">'4.2 Export market stratif '!Macros.ratio2</definedName>
    <definedName name="Macros.ratio2" localSheetId="32">'4.3 Domestic product strati'!Macros.ratio2</definedName>
    <definedName name="Macros.ratio2" localSheetId="7">#N/A</definedName>
    <definedName name="Macros.ratio2" localSheetId="20">'Q1''23 CONSO vs BP Q1''22'!Macros.ratio2</definedName>
    <definedName name="Macros.ratio2" localSheetId="21">'Q1''23 SNA vs BP Q1''22'!Macros.ratio2</definedName>
    <definedName name="Macros.ratio2" localSheetId="23">'Q1''23 SND vs BP Q1''22'!Macros.ratio2</definedName>
    <definedName name="Macros.ratio2" localSheetId="11">'YTD Q1''23 Cons. vs Q1''22'!Macros.ratio2</definedName>
    <definedName name="Macros.ratio2" localSheetId="13">'YTD Sep Cons. vs PY V2'!Macros.ratio2</definedName>
    <definedName name="Macros.ratio2" localSheetId="22">'YTD Sep SND vs PY'!Macros.ratio2</definedName>
    <definedName name="Macros.ratio2">[0]!Macros.ratio2</definedName>
    <definedName name="Macros.resultat" localSheetId="31">'4.2 Domestic market stratif'!Macros.resultat</definedName>
    <definedName name="Macros.resultat" localSheetId="30">'4.2 Export market stratif '!Macros.resultat</definedName>
    <definedName name="Macros.resultat" localSheetId="32">'4.3 Domestic product strati'!Macros.resultat</definedName>
    <definedName name="Macros.resultat" localSheetId="7">#N/A</definedName>
    <definedName name="Macros.resultat" localSheetId="20">'Q1''23 CONSO vs BP Q1''22'!Macros.resultat</definedName>
    <definedName name="Macros.resultat" localSheetId="21">'Q1''23 SNA vs BP Q1''22'!Macros.resultat</definedName>
    <definedName name="Macros.resultat" localSheetId="23">'Q1''23 SND vs BP Q1''22'!Macros.resultat</definedName>
    <definedName name="Macros.resultat" localSheetId="11">'YTD Q1''23 Cons. vs Q1''22'!Macros.resultat</definedName>
    <definedName name="Macros.resultat" localSheetId="13">'YTD Sep Cons. vs PY V2'!Macros.resultat</definedName>
    <definedName name="Macros.resultat" localSheetId="22">'YTD Sep SND vs PY'!Macros.resultat</definedName>
    <definedName name="Macros.resultat">[0]!Macros.resultat</definedName>
    <definedName name="Macros.Retour_Menu" localSheetId="31">'4.2 Domestic market stratif'!Macros.Retour_Menu</definedName>
    <definedName name="Macros.Retour_Menu" localSheetId="30">'4.2 Export market stratif '!Macros.Retour_Menu</definedName>
    <definedName name="Macros.Retour_Menu" localSheetId="32">'4.3 Domestic product strati'!Macros.Retour_Menu</definedName>
    <definedName name="Macros.Retour_Menu" localSheetId="7">#N/A</definedName>
    <definedName name="Macros.Retour_Menu" localSheetId="20">'Q1''23 CONSO vs BP Q1''22'!Macros.Retour_Menu</definedName>
    <definedName name="Macros.Retour_Menu" localSheetId="21">'Q1''23 SNA vs BP Q1''22'!Macros.Retour_Menu</definedName>
    <definedName name="Macros.Retour_Menu" localSheetId="23">'Q1''23 SND vs BP Q1''22'!Macros.Retour_Menu</definedName>
    <definedName name="Macros.Retour_Menu" localSheetId="11">'YTD Q1''23 Cons. vs Q1''22'!Macros.Retour_Menu</definedName>
    <definedName name="Macros.Retour_Menu" localSheetId="13">'YTD Sep Cons. vs PY V2'!Macros.Retour_Menu</definedName>
    <definedName name="Macros.Retour_Menu" localSheetId="22">'YTD Sep SND vs PY'!Macros.Retour_Menu</definedName>
    <definedName name="Macros.Retour_Menu">[0]!Macros.Retour_Menu</definedName>
    <definedName name="Macros.Saisie" localSheetId="31">'4.2 Domestic market stratif'!Macros.Saisie</definedName>
    <definedName name="Macros.Saisie" localSheetId="30">'4.2 Export market stratif '!Macros.Saisie</definedName>
    <definedName name="Macros.Saisie" localSheetId="32">'4.3 Domestic product strati'!Macros.Saisie</definedName>
    <definedName name="Macros.Saisie" localSheetId="7">#N/A</definedName>
    <definedName name="Macros.Saisie" localSheetId="20">'Q1''23 CONSO vs BP Q1''22'!Macros.Saisie</definedName>
    <definedName name="Macros.Saisie" localSheetId="21">'Q1''23 SNA vs BP Q1''22'!Macros.Saisie</definedName>
    <definedName name="Macros.Saisie" localSheetId="23">'Q1''23 SND vs BP Q1''22'!Macros.Saisie</definedName>
    <definedName name="Macros.Saisie" localSheetId="11">'YTD Q1''23 Cons. vs Q1''22'!Macros.Saisie</definedName>
    <definedName name="Macros.Saisie" localSheetId="13">'YTD Sep Cons. vs PY V2'!Macros.Saisie</definedName>
    <definedName name="Macros.Saisie" localSheetId="22">'YTD Sep SND vs PY'!Macros.Saisie</definedName>
    <definedName name="Macros.Saisie">[0]!Macros.Saisie</definedName>
    <definedName name="mahdi" localSheetId="31">'4.2 Domestic market stratif'!mahdi</definedName>
    <definedName name="mahdi" localSheetId="30">'4.2 Export market stratif '!mahdi</definedName>
    <definedName name="mahdi" localSheetId="32">'4.3 Domestic product strati'!mahdi</definedName>
    <definedName name="mahdi" localSheetId="7">#N/A</definedName>
    <definedName name="mahdi" localSheetId="20">'Q1''23 CONSO vs BP Q1''22'!mahdi</definedName>
    <definedName name="mahdi" localSheetId="21">'Q1''23 SNA vs BP Q1''22'!mahdi</definedName>
    <definedName name="mahdi" localSheetId="23">'Q1''23 SND vs BP Q1''22'!mahdi</definedName>
    <definedName name="mahdi" localSheetId="11">'YTD Q1''23 Cons. vs Q1''22'!mahdi</definedName>
    <definedName name="mahdi" localSheetId="13">'YTD Sep Cons. vs PY V2'!mahdi</definedName>
    <definedName name="mahdi" localSheetId="22">'YTD Sep SND vs PY'!mahdi</definedName>
    <definedName name="mahdi">[0]!mahdi</definedName>
    <definedName name="ManufacturerMargin" localSheetId="31">#REF!</definedName>
    <definedName name="ManufacturerMargin" localSheetId="42">#REF!</definedName>
    <definedName name="ManufacturerMargin" localSheetId="30">#REF!</definedName>
    <definedName name="ManufacturerMargin" localSheetId="32">#REF!</definedName>
    <definedName name="ManufacturerMargin" localSheetId="43">#REF!</definedName>
    <definedName name="ManufacturerMargin" localSheetId="5">#REF!</definedName>
    <definedName name="ManufacturerMargin" localSheetId="26">#REF!</definedName>
    <definedName name="ManufacturerMargin" localSheetId="9">#REF!</definedName>
    <definedName name="ManufacturerMargin" localSheetId="19">#REF!</definedName>
    <definedName name="ManufacturerMargin">#REF!</definedName>
    <definedName name="Metric" localSheetId="31">#REF!</definedName>
    <definedName name="Metric" localSheetId="42">#REF!</definedName>
    <definedName name="Metric" localSheetId="30">#REF!</definedName>
    <definedName name="Metric" localSheetId="32">#REF!</definedName>
    <definedName name="Metric" localSheetId="43">#REF!</definedName>
    <definedName name="Metric" localSheetId="5">#REF!</definedName>
    <definedName name="Metric" localSheetId="26">#REF!</definedName>
    <definedName name="Metric" localSheetId="9">#REF!</definedName>
    <definedName name="Metric" localSheetId="19">#REF!</definedName>
    <definedName name="Metric">#REF!</definedName>
    <definedName name="MF_1" localSheetId="20">#REF!</definedName>
    <definedName name="MF_1" localSheetId="11">#REF!</definedName>
    <definedName name="MF_1" localSheetId="13">#REF!</definedName>
    <definedName name="MF_1">#REF!</definedName>
    <definedName name="mf_2" localSheetId="20">#REF!</definedName>
    <definedName name="mf_2" localSheetId="11">#REF!</definedName>
    <definedName name="mf_2" localSheetId="13">#REF!</definedName>
    <definedName name="mf_2">#REF!</definedName>
    <definedName name="mf_3" localSheetId="20">#REF!</definedName>
    <definedName name="mf_3" localSheetId="11">#REF!</definedName>
    <definedName name="mf_3" localSheetId="13">#REF!</definedName>
    <definedName name="mf_3">#REF!</definedName>
    <definedName name="mf_4" localSheetId="20">#REF!</definedName>
    <definedName name="mf_4" localSheetId="11">#REF!</definedName>
    <definedName name="mf_4" localSheetId="13">#REF!</definedName>
    <definedName name="mf_4">#REF!</definedName>
    <definedName name="mf_5" localSheetId="20">#REF!</definedName>
    <definedName name="mf_5" localSheetId="11">#REF!</definedName>
    <definedName name="mf_5" localSheetId="13">#REF!</definedName>
    <definedName name="mf_5">#REF!</definedName>
    <definedName name="mf_6" localSheetId="20">#REF!</definedName>
    <definedName name="mf_6" localSheetId="11">#REF!</definedName>
    <definedName name="mf_6" localSheetId="13">#REF!</definedName>
    <definedName name="mf_6">#REF!</definedName>
    <definedName name="mmm" localSheetId="31">'4.2 Domestic market stratif'!mmm</definedName>
    <definedName name="mmm" localSheetId="30">'4.2 Export market stratif '!mmm</definedName>
    <definedName name="mmm" localSheetId="32">'4.3 Domestic product strati'!mmm</definedName>
    <definedName name="mmm" localSheetId="7">#N/A</definedName>
    <definedName name="mmm" localSheetId="20">'Q1''23 CONSO vs BP Q1''22'!mmm</definedName>
    <definedName name="mmm" localSheetId="21">'Q1''23 SNA vs BP Q1''22'!mmm</definedName>
    <definedName name="mmm" localSheetId="23">'Q1''23 SND vs BP Q1''22'!mmm</definedName>
    <definedName name="mmm" localSheetId="11">'YTD Q1''23 Cons. vs Q1''22'!mmm</definedName>
    <definedName name="mmm" localSheetId="13">'YTD Sep Cons. vs PY V2'!mmm</definedName>
    <definedName name="mmm" localSheetId="22">'YTD Sep SND vs PY'!mmm</definedName>
    <definedName name="mmm">[0]!mmm</definedName>
    <definedName name="moderate_level" localSheetId="31">#REF!</definedName>
    <definedName name="moderate_level" localSheetId="30">#REF!</definedName>
    <definedName name="moderate_level" localSheetId="32">#REF!</definedName>
    <definedName name="moderate_level">#REF!</definedName>
    <definedName name="Monetary_Precision" localSheetId="31">#REF!</definedName>
    <definedName name="Monetary_Precision" localSheetId="42">#REF!</definedName>
    <definedName name="Monetary_Precision" localSheetId="30">#REF!</definedName>
    <definedName name="Monetary_Precision" localSheetId="32">#REF!</definedName>
    <definedName name="Monetary_Precision" localSheetId="43">#REF!</definedName>
    <definedName name="Monetary_Precision" localSheetId="5">#REF!</definedName>
    <definedName name="Monetary_Precision" localSheetId="26">#REF!</definedName>
    <definedName name="Monetary_Precision" localSheetId="9">#REF!</definedName>
    <definedName name="Monetary_Precision" localSheetId="19">#REF!</definedName>
    <definedName name="Monetary_Precision">#REF!</definedName>
    <definedName name="Month" localSheetId="5">[58]months!$A$3:$A$14</definedName>
    <definedName name="Month" localSheetId="26">[59]months!$A$3:$A$14</definedName>
    <definedName name="Month" localSheetId="9">[60]months!$A$3:$A$14</definedName>
    <definedName name="Month" localSheetId="19">[60]months!$A$3:$A$14</definedName>
    <definedName name="Month">[61]months!$A$3:$A$14</definedName>
    <definedName name="new" localSheetId="31" hidden="1">{"Valuation",#N/A,TRUE,"Valuation Summary";"Financial Statements",#N/A,TRUE,"Results";"Results",#N/A,TRUE,"Results";"Ratios",#N/A,TRUE,"Results"}</definedName>
    <definedName name="new" localSheetId="42" hidden="1">{"Valuation",#N/A,TRUE,"Valuation Summary";"Financial Statements",#N/A,TRUE,"Results";"Results",#N/A,TRUE,"Results";"Ratios",#N/A,TRUE,"Results"}</definedName>
    <definedName name="new" localSheetId="30" hidden="1">{"Valuation",#N/A,TRUE,"Valuation Summary";"Financial Statements",#N/A,TRUE,"Results";"Results",#N/A,TRUE,"Results";"Ratios",#N/A,TRUE,"Results"}</definedName>
    <definedName name="new" localSheetId="32" hidden="1">{"Valuation",#N/A,TRUE,"Valuation Summary";"Financial Statements",#N/A,TRUE,"Results";"Results",#N/A,TRUE,"Results";"Ratios",#N/A,TRUE,"Results"}</definedName>
    <definedName name="new" localSheetId="43" hidden="1">{"Valuation",#N/A,TRUE,"Valuation Summary";"Financial Statements",#N/A,TRUE,"Results";"Results",#N/A,TRUE,"Results";"Ratios",#N/A,TRUE,"Results"}</definedName>
    <definedName name="new" localSheetId="7" hidden="1">{"Valuation",#N/A,TRUE,"Valuation Summary";"Financial Statements",#N/A,TRUE,"Results";"Results",#N/A,TRUE,"Results";"Ratios",#N/A,TRUE,"Results"}</definedName>
    <definedName name="new" localSheetId="5" hidden="1">{"Valuation",#N/A,TRUE,"Valuation Summary";"Financial Statements",#N/A,TRUE,"Results";"Results",#N/A,TRUE,"Results";"Ratios",#N/A,TRUE,"Results"}</definedName>
    <definedName name="new" localSheetId="26" hidden="1">{"Valuation",#N/A,TRUE,"Valuation Summary";"Financial Statements",#N/A,TRUE,"Results";"Results",#N/A,TRUE,"Results";"Ratios",#N/A,TRUE,"Results"}</definedName>
    <definedName name="new" localSheetId="21" hidden="1">{"Valuation",#N/A,TRUE,"Valuation Summary";"Financial Statements",#N/A,TRUE,"Results";"Results",#N/A,TRUE,"Results";"Ratios",#N/A,TRUE,"Results"}</definedName>
    <definedName name="new" localSheetId="23" hidden="1">{"Valuation",#N/A,TRUE,"Valuation Summary";"Financial Statements",#N/A,TRUE,"Results";"Results",#N/A,TRUE,"Results";"Ratios",#N/A,TRUE,"Results"}</definedName>
    <definedName name="new" localSheetId="9" hidden="1">{"Valuation",#N/A,TRUE,"Valuation Summary";"Financial Statements",#N/A,TRUE,"Results";"Results",#N/A,TRUE,"Results";"Ratios",#N/A,TRUE,"Results"}</definedName>
    <definedName name="new" localSheetId="19" hidden="1">{"Valuation",#N/A,TRUE,"Valuation Summary";"Financial Statements",#N/A,TRUE,"Results";"Results",#N/A,TRUE,"Results";"Ratios",#N/A,TRUE,"Results"}</definedName>
    <definedName name="new" localSheetId="22" hidden="1">{"Valuation",#N/A,TRUE,"Valuation Summary";"Financial Statements",#N/A,TRUE,"Results";"Results",#N/A,TRUE,"Results";"Ratios",#N/A,TRUE,"Results"}</definedName>
    <definedName name="new" hidden="1">{"Valuation",#N/A,TRUE,"Valuation Summary";"Financial Statements",#N/A,TRUE,"Results";"Results",#N/A,TRUE,"Results";"Ratios",#N/A,TRUE,"Results"}</definedName>
    <definedName name="NOPAGE">1</definedName>
    <definedName name="normal">#REF!</definedName>
    <definedName name="note" localSheetId="20">#REF!</definedName>
    <definedName name="note" localSheetId="11">#REF!</definedName>
    <definedName name="note" localSheetId="13">#REF!</definedName>
    <definedName name="note">#REF!</definedName>
    <definedName name="Number_of_Selections">'[8]CMA Calculations'!$F$17</definedName>
    <definedName name="NUMERO" localSheetId="20">[39]TAB7!$A:$A</definedName>
    <definedName name="NUMERO" localSheetId="11">[39]TAB7!$A:$A</definedName>
    <definedName name="NUMERO" localSheetId="13">[39]TAB7!$A:$A</definedName>
    <definedName name="NUMERO">[39]TAB7!$A:$A</definedName>
    <definedName name="OI" localSheetId="31" hidden="1">{"'Grafik Kontrol'!$A$1:$J$8"}</definedName>
    <definedName name="OI" localSheetId="42" hidden="1">{"'Grafik Kontrol'!$A$1:$J$8"}</definedName>
    <definedName name="OI" localSheetId="30" hidden="1">{"'Grafik Kontrol'!$A$1:$J$8"}</definedName>
    <definedName name="OI" localSheetId="32" hidden="1">{"'Grafik Kontrol'!$A$1:$J$8"}</definedName>
    <definedName name="OI" localSheetId="43" hidden="1">{"'Grafik Kontrol'!$A$1:$J$8"}</definedName>
    <definedName name="OI" localSheetId="7" hidden="1">{"'Grafik Kontrol'!$A$1:$J$8"}</definedName>
    <definedName name="OI" localSheetId="5" hidden="1">{"'Grafik Kontrol'!$A$1:$J$8"}</definedName>
    <definedName name="OI" localSheetId="26" hidden="1">{"'Grafik Kontrol'!$A$1:$J$8"}</definedName>
    <definedName name="OI" localSheetId="21" hidden="1">{"'Grafik Kontrol'!$A$1:$J$8"}</definedName>
    <definedName name="OI" localSheetId="23" hidden="1">{"'Grafik Kontrol'!$A$1:$J$8"}</definedName>
    <definedName name="OI" localSheetId="9" hidden="1">{"'Grafik Kontrol'!$A$1:$J$8"}</definedName>
    <definedName name="OI" localSheetId="19" hidden="1">{"'Grafik Kontrol'!$A$1:$J$8"}</definedName>
    <definedName name="OI" localSheetId="22" hidden="1">{"'Grafik Kontrol'!$A$1:$J$8"}</definedName>
    <definedName name="OI" hidden="1">{"'Grafik Kontrol'!$A$1:$J$8"}</definedName>
    <definedName name="OptimizeA" localSheetId="31">#REF!</definedName>
    <definedName name="OptimizeA" localSheetId="42">#REF!</definedName>
    <definedName name="OptimizeA" localSheetId="30">#REF!</definedName>
    <definedName name="OptimizeA" localSheetId="32">#REF!</definedName>
    <definedName name="OptimizeA" localSheetId="43">#REF!</definedName>
    <definedName name="OptimizeA" localSheetId="5">#REF!</definedName>
    <definedName name="OptimizeA" localSheetId="26">#REF!</definedName>
    <definedName name="OptimizeA" localSheetId="9">#REF!</definedName>
    <definedName name="OptimizeA" localSheetId="19">#REF!</definedName>
    <definedName name="OptimizeA">#REF!</definedName>
    <definedName name="OptimizeB" localSheetId="31">#REF!</definedName>
    <definedName name="OptimizeB" localSheetId="42">#REF!</definedName>
    <definedName name="OptimizeB" localSheetId="30">#REF!</definedName>
    <definedName name="OptimizeB" localSheetId="32">#REF!</definedName>
    <definedName name="OptimizeB" localSheetId="43">#REF!</definedName>
    <definedName name="OptimizeB" localSheetId="5">#REF!</definedName>
    <definedName name="OptimizeB" localSheetId="26">#REF!</definedName>
    <definedName name="OptimizeB" localSheetId="9">#REF!</definedName>
    <definedName name="OptimizeB" localSheetId="19">#REF!</definedName>
    <definedName name="OptimizeB">#REF!</definedName>
    <definedName name="OptimizeC" localSheetId="31">#REF!</definedName>
    <definedName name="OptimizeC" localSheetId="42">#REF!</definedName>
    <definedName name="OptimizeC" localSheetId="30">#REF!</definedName>
    <definedName name="OptimizeC" localSheetId="32">#REF!</definedName>
    <definedName name="OptimizeC" localSheetId="43">#REF!</definedName>
    <definedName name="OptimizeC" localSheetId="5">#REF!</definedName>
    <definedName name="OptimizeC" localSheetId="26">#REF!</definedName>
    <definedName name="OptimizeC" localSheetId="9">#REF!</definedName>
    <definedName name="OptimizeC" localSheetId="19">#REF!</definedName>
    <definedName name="OptimizeC">#REF!</definedName>
    <definedName name="OptimizeP" localSheetId="31">#REF!</definedName>
    <definedName name="OptimizeP" localSheetId="42">#REF!</definedName>
    <definedName name="OptimizeP" localSheetId="30">#REF!</definedName>
    <definedName name="OptimizeP" localSheetId="32">#REF!</definedName>
    <definedName name="OptimizeP" localSheetId="43">#REF!</definedName>
    <definedName name="OptimizeP" localSheetId="5">#REF!</definedName>
    <definedName name="OptimizeP" localSheetId="26">#REF!</definedName>
    <definedName name="OptimizeP" localSheetId="9">#REF!</definedName>
    <definedName name="OptimizeP" localSheetId="19">#REF!</definedName>
    <definedName name="OptimizeP">#REF!</definedName>
    <definedName name="OptimizeVolume" localSheetId="31">#REF!</definedName>
    <definedName name="OptimizeVolume" localSheetId="42">#REF!</definedName>
    <definedName name="OptimizeVolume" localSheetId="30">#REF!</definedName>
    <definedName name="OptimizeVolume" localSheetId="32">#REF!</definedName>
    <definedName name="OptimizeVolume" localSheetId="43">#REF!</definedName>
    <definedName name="OptimizeVolume" localSheetId="5">#REF!</definedName>
    <definedName name="OptimizeVolume" localSheetId="26">#REF!</definedName>
    <definedName name="OptimizeVolume" localSheetId="9">#REF!</definedName>
    <definedName name="OptimizeVolume" localSheetId="19">#REF!</definedName>
    <definedName name="OptimizeVolume">#REF!</definedName>
    <definedName name="OrderTable" localSheetId="31" hidden="1">#REF!</definedName>
    <definedName name="OrderTable" localSheetId="42" hidden="1">#REF!</definedName>
    <definedName name="OrderTable" localSheetId="30" hidden="1">#REF!</definedName>
    <definedName name="OrderTable" localSheetId="32" hidden="1">#REF!</definedName>
    <definedName name="OrderTable" localSheetId="43" hidden="1">#REF!</definedName>
    <definedName name="OrderTable" localSheetId="5" hidden="1">#REF!</definedName>
    <definedName name="OrderTable" localSheetId="26" hidden="1">#REF!</definedName>
    <definedName name="OrderTable" localSheetId="9" hidden="1">#REF!</definedName>
    <definedName name="OrderTable" localSheetId="19" hidden="1">#REF!</definedName>
    <definedName name="OrderTable" hidden="1">#REF!</definedName>
    <definedName name="OTROS_AYUDA" localSheetId="20">#REF!</definedName>
    <definedName name="OTROS_AYUDA" localSheetId="11">#REF!</definedName>
    <definedName name="OTROS_AYUDA" localSheetId="13">#REF!</definedName>
    <definedName name="OTROS_AYUDA">#REF!</definedName>
    <definedName name="PackagingA" localSheetId="31">#REF!</definedName>
    <definedName name="PackagingA" localSheetId="42">#REF!</definedName>
    <definedName name="PackagingA" localSheetId="30">#REF!</definedName>
    <definedName name="PackagingA" localSheetId="32">#REF!</definedName>
    <definedName name="PackagingA" localSheetId="43">#REF!</definedName>
    <definedName name="PackagingA" localSheetId="5">#REF!</definedName>
    <definedName name="PackagingA" localSheetId="26">#REF!</definedName>
    <definedName name="PackagingA" localSheetId="9">#REF!</definedName>
    <definedName name="PackagingA" localSheetId="19">#REF!</definedName>
    <definedName name="PackagingA">#REF!</definedName>
    <definedName name="PackagingB" localSheetId="31">#REF!</definedName>
    <definedName name="PackagingB" localSheetId="42">#REF!</definedName>
    <definedName name="PackagingB" localSheetId="30">#REF!</definedName>
    <definedName name="PackagingB" localSheetId="32">#REF!</definedName>
    <definedName name="PackagingB" localSheetId="43">#REF!</definedName>
    <definedName name="PackagingB" localSheetId="5">#REF!</definedName>
    <definedName name="PackagingB" localSheetId="26">#REF!</definedName>
    <definedName name="PackagingB" localSheetId="9">#REF!</definedName>
    <definedName name="PackagingB" localSheetId="19">#REF!</definedName>
    <definedName name="PackagingB">#REF!</definedName>
    <definedName name="PackagingC" localSheetId="31">#REF!</definedName>
    <definedName name="PackagingC" localSheetId="42">#REF!</definedName>
    <definedName name="PackagingC" localSheetId="30">#REF!</definedName>
    <definedName name="PackagingC" localSheetId="32">#REF!</definedName>
    <definedName name="PackagingC" localSheetId="43">#REF!</definedName>
    <definedName name="PackagingC" localSheetId="5">#REF!</definedName>
    <definedName name="PackagingC" localSheetId="26">#REF!</definedName>
    <definedName name="PackagingC" localSheetId="9">#REF!</definedName>
    <definedName name="PackagingC" localSheetId="19">#REF!</definedName>
    <definedName name="PackagingC">#REF!</definedName>
    <definedName name="PackagingP" localSheetId="31">#REF!</definedName>
    <definedName name="PackagingP" localSheetId="42">#REF!</definedName>
    <definedName name="PackagingP" localSheetId="30">#REF!</definedName>
    <definedName name="PackagingP" localSheetId="32">#REF!</definedName>
    <definedName name="PackagingP" localSheetId="43">#REF!</definedName>
    <definedName name="PackagingP" localSheetId="5">#REF!</definedName>
    <definedName name="PackagingP" localSheetId="26">#REF!</definedName>
    <definedName name="PackagingP" localSheetId="9">#REF!</definedName>
    <definedName name="PackagingP" localSheetId="19">#REF!</definedName>
    <definedName name="PackagingP">#REF!</definedName>
    <definedName name="Pc_F_1" localSheetId="20">#REF!</definedName>
    <definedName name="Pc_F_1" localSheetId="11">#REF!</definedName>
    <definedName name="Pc_F_1" localSheetId="13">#REF!</definedName>
    <definedName name="Pc_F_1">#REF!</definedName>
    <definedName name="Pc_F_2" localSheetId="20">#REF!</definedName>
    <definedName name="Pc_F_2" localSheetId="11">#REF!</definedName>
    <definedName name="Pc_F_2" localSheetId="13">#REF!</definedName>
    <definedName name="Pc_F_2">#REF!</definedName>
    <definedName name="Pc_F_3" localSheetId="20">#REF!</definedName>
    <definedName name="Pc_F_3" localSheetId="11">#REF!</definedName>
    <definedName name="Pc_F_3" localSheetId="13">#REF!</definedName>
    <definedName name="Pc_F_3">#REF!</definedName>
    <definedName name="Pc_F_4" localSheetId="20">#REF!</definedName>
    <definedName name="Pc_F_4" localSheetId="11">#REF!</definedName>
    <definedName name="Pc_F_4" localSheetId="13">#REF!</definedName>
    <definedName name="Pc_F_4">#REF!</definedName>
    <definedName name="Pc_F_5" localSheetId="20">#REF!</definedName>
    <definedName name="Pc_F_5" localSheetId="11">#REF!</definedName>
    <definedName name="Pc_F_5" localSheetId="13">#REF!</definedName>
    <definedName name="Pc_F_5">#REF!</definedName>
    <definedName name="Pc_F_6" localSheetId="20">#REF!</definedName>
    <definedName name="Pc_F_6" localSheetId="11">#REF!</definedName>
    <definedName name="Pc_F_6" localSheetId="13">#REF!</definedName>
    <definedName name="Pc_F_6">#REF!</definedName>
    <definedName name="pdeReportingDate">[18]Начална!$AA$2</definedName>
    <definedName name="pdt">[39]TAB2LU!$F$8:$G$8</definedName>
    <definedName name="Percent_Threshold" localSheetId="31">#REF!</definedName>
    <definedName name="Percent_Threshold" localSheetId="30">#REF!</definedName>
    <definedName name="Percent_Threshold" localSheetId="32">#REF!</definedName>
    <definedName name="Percent_Threshold">#REF!</definedName>
    <definedName name="Perf_Materiality" localSheetId="31">#REF!</definedName>
    <definedName name="Perf_Materiality" localSheetId="30">#REF!</definedName>
    <definedName name="Perf_Materiality" localSheetId="32">#REF!</definedName>
    <definedName name="Perf_Materiality">#REF!</definedName>
    <definedName name="Performance_materiality">[62]Introduction!$C$10</definedName>
    <definedName name="PERSONAL_AYUDA" localSheetId="31">#REF!</definedName>
    <definedName name="PERSONAL_AYUDA" localSheetId="30">#REF!</definedName>
    <definedName name="PERSONAL_AYUDA" localSheetId="32">#REF!</definedName>
    <definedName name="PERSONAL_AYUDA" localSheetId="20">#REF!</definedName>
    <definedName name="PERSONAL_AYUDA" localSheetId="11">#REF!</definedName>
    <definedName name="PERSONAL_AYUDA" localSheetId="13">#REF!</definedName>
    <definedName name="PERSONAL_AYUDA">#REF!</definedName>
    <definedName name="PL_Dollar_Threshold" localSheetId="31">#REF!</definedName>
    <definedName name="PL_Dollar_Threshold" localSheetId="30">#REF!</definedName>
    <definedName name="PL_Dollar_Threshold" localSheetId="32">#REF!</definedName>
    <definedName name="PL_Dollar_Threshold">#REF!</definedName>
    <definedName name="PL_Percent_Threshold">#REF!</definedName>
    <definedName name="plan">[39]PlanComptable!$C$1:$C$1317</definedName>
    <definedName name="PlannedExtentofTesting">[63]Sheet1!$A$1:$A$5</definedName>
    <definedName name="PnLTable">'[19]Profit and Loss Report'!$B$6:$E$105</definedName>
    <definedName name="POSTENVRAAG">'[25](H) DATASHEET'!$A$67:$A$69</definedName>
    <definedName name="Potential_errors" localSheetId="31">#REF!</definedName>
    <definedName name="Potential_errors" localSheetId="30">#REF!</definedName>
    <definedName name="Potential_errors" localSheetId="32">#REF!</definedName>
    <definedName name="Potential_errors">#REF!</definedName>
    <definedName name="PP" localSheetId="31" hidden="1">{"'Grafik Kontrol'!$A$1:$J$8"}</definedName>
    <definedName name="PP" localSheetId="42" hidden="1">{"'Grafik Kontrol'!$A$1:$J$8"}</definedName>
    <definedName name="PP" localSheetId="30" hidden="1">{"'Grafik Kontrol'!$A$1:$J$8"}</definedName>
    <definedName name="PP" localSheetId="32" hidden="1">{"'Grafik Kontrol'!$A$1:$J$8"}</definedName>
    <definedName name="PP" localSheetId="43" hidden="1">{"'Grafik Kontrol'!$A$1:$J$8"}</definedName>
    <definedName name="PP" localSheetId="7" hidden="1">{"'Grafik Kontrol'!$A$1:$J$8"}</definedName>
    <definedName name="PP" localSheetId="5" hidden="1">{"'Grafik Kontrol'!$A$1:$J$8"}</definedName>
    <definedName name="PP" localSheetId="26" hidden="1">{"'Grafik Kontrol'!$A$1:$J$8"}</definedName>
    <definedName name="PP" localSheetId="21" hidden="1">{"'Grafik Kontrol'!$A$1:$J$8"}</definedName>
    <definedName name="PP" localSheetId="23" hidden="1">{"'Grafik Kontrol'!$A$1:$J$8"}</definedName>
    <definedName name="PP" localSheetId="9" hidden="1">{"'Grafik Kontrol'!$A$1:$J$8"}</definedName>
    <definedName name="PP" localSheetId="19" hidden="1">{"'Grafik Kontrol'!$A$1:$J$8"}</definedName>
    <definedName name="PP" localSheetId="22" hidden="1">{"'Grafik Kontrol'!$A$1:$J$8"}</definedName>
    <definedName name="PP" hidden="1">{"'Grafik Kontrol'!$A$1:$J$8"}</definedName>
    <definedName name="PRELIM_TM" hidden="1">[38]Lead!#REF!</definedName>
    <definedName name="PRELIM_TM2" localSheetId="31">#REF!</definedName>
    <definedName name="PRELIM_TM2" localSheetId="30">#REF!</definedName>
    <definedName name="PRELIM_TM2" localSheetId="32">#REF!</definedName>
    <definedName name="PRELIM_TM2">#REF!</definedName>
    <definedName name="pricelist">[64]pricelist!$C$4:$L$100</definedName>
    <definedName name="ProdForm" localSheetId="31" hidden="1">#REF!</definedName>
    <definedName name="ProdForm" localSheetId="42" hidden="1">#REF!</definedName>
    <definedName name="ProdForm" localSheetId="30" hidden="1">#REF!</definedName>
    <definedName name="ProdForm" localSheetId="32" hidden="1">#REF!</definedName>
    <definedName name="ProdForm" localSheetId="43" hidden="1">#REF!</definedName>
    <definedName name="ProdForm" localSheetId="5" hidden="1">#REF!</definedName>
    <definedName name="ProdForm" localSheetId="26" hidden="1">#REF!</definedName>
    <definedName name="ProdForm" localSheetId="9" hidden="1">#REF!</definedName>
    <definedName name="ProdForm" localSheetId="19" hidden="1">#REF!</definedName>
    <definedName name="ProdForm" hidden="1">#REF!</definedName>
    <definedName name="Product" localSheetId="31" hidden="1">#REF!</definedName>
    <definedName name="Product" localSheetId="42" hidden="1">#REF!</definedName>
    <definedName name="Product" localSheetId="30" hidden="1">#REF!</definedName>
    <definedName name="Product" localSheetId="32" hidden="1">#REF!</definedName>
    <definedName name="Product" localSheetId="43" hidden="1">#REF!</definedName>
    <definedName name="Product" localSheetId="5" hidden="1">#REF!</definedName>
    <definedName name="Product" localSheetId="26" hidden="1">#REF!</definedName>
    <definedName name="Product" localSheetId="9" hidden="1">#REF!</definedName>
    <definedName name="Product" localSheetId="19" hidden="1">#REF!</definedName>
    <definedName name="Product" hidden="1">#REF!</definedName>
    <definedName name="Product1" localSheetId="31" hidden="1">#REF!</definedName>
    <definedName name="Product1" localSheetId="42" hidden="1">#REF!</definedName>
    <definedName name="Product1" localSheetId="30" hidden="1">#REF!</definedName>
    <definedName name="Product1" localSheetId="32" hidden="1">#REF!</definedName>
    <definedName name="Product1" localSheetId="43" hidden="1">#REF!</definedName>
    <definedName name="Product1" localSheetId="5" hidden="1">#REF!</definedName>
    <definedName name="Product1" localSheetId="26" hidden="1">#REF!</definedName>
    <definedName name="Product1" localSheetId="9" hidden="1">#REF!</definedName>
    <definedName name="Product1" localSheetId="19" hidden="1">#REF!</definedName>
    <definedName name="Product1" hidden="1">#REF!</definedName>
    <definedName name="ProductionCostBG" localSheetId="31">#REF!</definedName>
    <definedName name="ProductionCostBG" localSheetId="42">#REF!</definedName>
    <definedName name="ProductionCostBG" localSheetId="30">#REF!</definedName>
    <definedName name="ProductionCostBG" localSheetId="32">#REF!</definedName>
    <definedName name="ProductionCostBG" localSheetId="43">#REF!</definedName>
    <definedName name="ProductionCostBG" localSheetId="5">#REF!</definedName>
    <definedName name="ProductionCostBG" localSheetId="26">#REF!</definedName>
    <definedName name="ProductionCostBG" localSheetId="9">#REF!</definedName>
    <definedName name="ProductionCostBG" localSheetId="19">#REF!</definedName>
    <definedName name="ProductionCostBG">#REF!</definedName>
    <definedName name="PUB">'[25](H) DATASHEET'!$A$18</definedName>
    <definedName name="PY_Accounts_Receivable" localSheetId="31">#REF!</definedName>
    <definedName name="PY_Accounts_Receivable" localSheetId="30">#REF!</definedName>
    <definedName name="PY_Accounts_Receivable" localSheetId="32">#REF!</definedName>
    <definedName name="PY_Accounts_Receivable">#REF!</definedName>
    <definedName name="PY_Administration" localSheetId="31">#REF!</definedName>
    <definedName name="PY_Administration" localSheetId="30">#REF!</definedName>
    <definedName name="PY_Administration" localSheetId="32">#REF!</definedName>
    <definedName name="PY_Administration">#REF!</definedName>
    <definedName name="PY_all_Income">'[33]Summary of Misstatements'!$H$52</definedName>
    <definedName name="PY_all_RetEarn">'[33]Summary of Misstatements'!$F$52</definedName>
    <definedName name="PY_Cash" localSheetId="31">#REF!</definedName>
    <definedName name="PY_Cash" localSheetId="30">#REF!</definedName>
    <definedName name="PY_Cash" localSheetId="32">#REF!</definedName>
    <definedName name="PY_Cash">#REF!</definedName>
    <definedName name="PY_Cash_Div_Dec">'[34]Income Statement'!#REF!</definedName>
    <definedName name="PY_CASH_DIVIDENDS_DECLARED__per_common_share">'[34]Income Statement'!#REF!</definedName>
    <definedName name="PY_Common_Equity" localSheetId="31">#REF!</definedName>
    <definedName name="PY_Common_Equity" localSheetId="30">#REF!</definedName>
    <definedName name="PY_Common_Equity" localSheetId="32">#REF!</definedName>
    <definedName name="PY_Common_Equity">#REF!</definedName>
    <definedName name="PY_Cost_of_Sales" localSheetId="31">#REF!</definedName>
    <definedName name="PY_Cost_of_Sales" localSheetId="30">#REF!</definedName>
    <definedName name="PY_Cost_of_Sales" localSheetId="32">#REF!</definedName>
    <definedName name="PY_Cost_of_Sales">#REF!</definedName>
    <definedName name="PY_Current_Liabilities" localSheetId="31">#REF!</definedName>
    <definedName name="PY_Current_Liabilities" localSheetId="30">#REF!</definedName>
    <definedName name="PY_Current_Liabilities" localSheetId="32">#REF!</definedName>
    <definedName name="PY_Current_Liabilities">#REF!</definedName>
    <definedName name="PY_Depreciation">#REF!</definedName>
    <definedName name="PY_Disc._Ops.">#REF!</definedName>
    <definedName name="PY_Earnings_per_share">[34]Ratios!#REF!</definedName>
    <definedName name="PY_Extraord." localSheetId="31">#REF!</definedName>
    <definedName name="PY_Extraord." localSheetId="30">#REF!</definedName>
    <definedName name="PY_Extraord." localSheetId="32">#REF!</definedName>
    <definedName name="PY_Extraord.">#REF!</definedName>
    <definedName name="PY_Gross_Profit" localSheetId="31">#REF!</definedName>
    <definedName name="PY_Gross_Profit" localSheetId="30">#REF!</definedName>
    <definedName name="PY_Gross_Profit" localSheetId="32">#REF!</definedName>
    <definedName name="PY_Gross_Profit">#REF!</definedName>
    <definedName name="PY_INC_AFT_TAX" localSheetId="31">#REF!</definedName>
    <definedName name="PY_INC_AFT_TAX" localSheetId="30">#REF!</definedName>
    <definedName name="PY_INC_AFT_TAX" localSheetId="32">#REF!</definedName>
    <definedName name="PY_INC_AFT_TAX">#REF!</definedName>
    <definedName name="PY_INC_BEF_EXTRAORD">#REF!</definedName>
    <definedName name="PY_Inc_Bef_Tax">#REF!</definedName>
    <definedName name="PY_Intangible_Assets">#REF!</definedName>
    <definedName name="PY_Interest_Expense">#REF!</definedName>
    <definedName name="PY_Inventory">#REF!</definedName>
    <definedName name="PY_knw_Income">'[33]Summary of Misstatements'!$H$44</definedName>
    <definedName name="PY_knw_RetEarn">'[33]Summary of Misstatements'!$F$44</definedName>
    <definedName name="PY_LIABIL_EQUITY" localSheetId="31">#REF!</definedName>
    <definedName name="PY_LIABIL_EQUITY" localSheetId="30">#REF!</definedName>
    <definedName name="PY_LIABIL_EQUITY" localSheetId="32">#REF!</definedName>
    <definedName name="PY_LIABIL_EQUITY">#REF!</definedName>
    <definedName name="PY_Long_term_Debt__excl_Dfd_Taxes" localSheetId="31">#REF!</definedName>
    <definedName name="PY_Long_term_Debt__excl_Dfd_Taxes" localSheetId="30">#REF!</definedName>
    <definedName name="PY_Long_term_Debt__excl_Dfd_Taxes" localSheetId="32">#REF!</definedName>
    <definedName name="PY_Long_term_Debt__excl_Dfd_Taxes">#REF!</definedName>
    <definedName name="PY_LT_Debt" localSheetId="31">'[34]Balance Sheet'!#REF!</definedName>
    <definedName name="PY_LT_Debt" localSheetId="30">'[34]Balance Sheet'!#REF!</definedName>
    <definedName name="PY_LT_Debt" localSheetId="32">'[34]Balance Sheet'!#REF!</definedName>
    <definedName name="PY_LT_Debt">'[34]Balance Sheet'!#REF!</definedName>
    <definedName name="PY_Market_Value_of_Equity" localSheetId="31">'[34]Income Statement'!#REF!</definedName>
    <definedName name="PY_Market_Value_of_Equity" localSheetId="30">'[34]Income Statement'!#REF!</definedName>
    <definedName name="PY_Market_Value_of_Equity" localSheetId="32">'[34]Income Statement'!#REF!</definedName>
    <definedName name="PY_Market_Value_of_Equity">'[34]Income Statement'!#REF!</definedName>
    <definedName name="PY_Marketable_Sec" localSheetId="31">#REF!</definedName>
    <definedName name="PY_Marketable_Sec" localSheetId="30">#REF!</definedName>
    <definedName name="PY_Marketable_Sec" localSheetId="32">#REF!</definedName>
    <definedName name="PY_Marketable_Sec">#REF!</definedName>
    <definedName name="PY_NET_INCOME" localSheetId="31">#REF!</definedName>
    <definedName name="PY_NET_INCOME" localSheetId="30">#REF!</definedName>
    <definedName name="PY_NET_INCOME" localSheetId="32">#REF!</definedName>
    <definedName name="PY_NET_INCOME">#REF!</definedName>
    <definedName name="PY_Net_Revenue" localSheetId="31">#REF!</definedName>
    <definedName name="PY_Net_Revenue" localSheetId="30">#REF!</definedName>
    <definedName name="PY_Net_Revenue" localSheetId="32">#REF!</definedName>
    <definedName name="PY_Net_Revenue">#REF!</definedName>
    <definedName name="PY_Operating_Inc">#REF!</definedName>
    <definedName name="PY_Operating_Income">#REF!</definedName>
    <definedName name="PY_Other_Curr_Assets">#REF!</definedName>
    <definedName name="PY_Other_Exp">#REF!</definedName>
    <definedName name="PY_Other_LT_Assets">#REF!</definedName>
    <definedName name="PY_Other_LT_Liabilities">#REF!</definedName>
    <definedName name="PY_Preferred_Stock">#REF!</definedName>
    <definedName name="PY_QUICK_ASSETS">#REF!</definedName>
    <definedName name="PY_Retained_Earnings">#REF!</definedName>
    <definedName name="PY_Selling">#REF!</definedName>
    <definedName name="PY_Tangible_Assets">#REF!</definedName>
    <definedName name="PY_Tangible_Net_Worth">'[34]Income Statement'!#REF!</definedName>
    <definedName name="PY_Taxes" localSheetId="31">#REF!</definedName>
    <definedName name="PY_Taxes" localSheetId="30">#REF!</definedName>
    <definedName name="PY_Taxes" localSheetId="32">#REF!</definedName>
    <definedName name="PY_Taxes">#REF!</definedName>
    <definedName name="PY_TOTAL_ASSETS" localSheetId="31">#REF!</definedName>
    <definedName name="PY_TOTAL_ASSETS" localSheetId="30">#REF!</definedName>
    <definedName name="PY_TOTAL_ASSETS" localSheetId="32">#REF!</definedName>
    <definedName name="PY_TOTAL_ASSETS">#REF!</definedName>
    <definedName name="PY_TOTAL_CURR_ASSETS" localSheetId="31">#REF!</definedName>
    <definedName name="PY_TOTAL_CURR_ASSETS" localSheetId="30">#REF!</definedName>
    <definedName name="PY_TOTAL_CURR_ASSETS" localSheetId="32">#REF!</definedName>
    <definedName name="PY_TOTAL_CURR_ASSETS">#REF!</definedName>
    <definedName name="PY_TOTAL_DEBT">#REF!</definedName>
    <definedName name="PY_TOTAL_EQUITY">#REF!</definedName>
    <definedName name="PY_Trade_Payables">#REF!</definedName>
    <definedName name="PY_tx_all_Income">'[33]Summary of Misstatements'!$M$52</definedName>
    <definedName name="PY_tx_all_RetEarn">'[33]Summary of Misstatements'!$K$52</definedName>
    <definedName name="PY_tx_knw_Income">'[33]Summary of Misstatements'!$M$44</definedName>
    <definedName name="PY_tx_knw_RetEarn">'[33]Summary of Misstatements'!$K$44</definedName>
    <definedName name="PY_Weighted_Average">'[34]Income Statement'!#REF!</definedName>
    <definedName name="PY_Working_Capital">'[34]Income Statement'!#REF!</definedName>
    <definedName name="PY_Year_Income_Statement" localSheetId="31">#REF!</definedName>
    <definedName name="PY_Year_Income_Statement" localSheetId="30">#REF!</definedName>
    <definedName name="PY_Year_Income_Statement" localSheetId="32">#REF!</definedName>
    <definedName name="PY_Year_Income_Statement">#REF!</definedName>
    <definedName name="PY2_Accounts_Receivable" localSheetId="31">#REF!</definedName>
    <definedName name="PY2_Accounts_Receivable" localSheetId="30">#REF!</definedName>
    <definedName name="PY2_Accounts_Receivable" localSheetId="32">#REF!</definedName>
    <definedName name="PY2_Accounts_Receivable">#REF!</definedName>
    <definedName name="PY2_Administration" localSheetId="31">#REF!</definedName>
    <definedName name="PY2_Administration" localSheetId="30">#REF!</definedName>
    <definedName name="PY2_Administration" localSheetId="32">#REF!</definedName>
    <definedName name="PY2_Administration">#REF!</definedName>
    <definedName name="PY2_Cash">#REF!</definedName>
    <definedName name="PY2_Cash_Div_Dec">'[34]Income Statement'!#REF!</definedName>
    <definedName name="PY2_CASH_DIVIDENDS_DECLARED__per_common_share">'[34]Income Statement'!#REF!</definedName>
    <definedName name="PY2_Common_Equity" localSheetId="31">#REF!</definedName>
    <definedName name="PY2_Common_Equity" localSheetId="30">#REF!</definedName>
    <definedName name="PY2_Common_Equity" localSheetId="32">#REF!</definedName>
    <definedName name="PY2_Common_Equity">#REF!</definedName>
    <definedName name="PY2_Cost_of_Sales" localSheetId="31">#REF!</definedName>
    <definedName name="PY2_Cost_of_Sales" localSheetId="30">#REF!</definedName>
    <definedName name="PY2_Cost_of_Sales" localSheetId="32">#REF!</definedName>
    <definedName name="PY2_Cost_of_Sales">#REF!</definedName>
    <definedName name="PY2_Current_Liabilities" localSheetId="31">#REF!</definedName>
    <definedName name="PY2_Current_Liabilities" localSheetId="30">#REF!</definedName>
    <definedName name="PY2_Current_Liabilities" localSheetId="32">#REF!</definedName>
    <definedName name="PY2_Current_Liabilities">#REF!</definedName>
    <definedName name="PY2_Depreciation">#REF!</definedName>
    <definedName name="PY2_Disc._Ops.">#REF!</definedName>
    <definedName name="PY2_Earnings_per_share">[34]Ratios!#REF!</definedName>
    <definedName name="PY2_Extraord." localSheetId="31">#REF!</definedName>
    <definedName name="PY2_Extraord." localSheetId="30">#REF!</definedName>
    <definedName name="PY2_Extraord." localSheetId="32">#REF!</definedName>
    <definedName name="PY2_Extraord.">#REF!</definedName>
    <definedName name="PY2_Gross_Profit" localSheetId="31">#REF!</definedName>
    <definedName name="PY2_Gross_Profit" localSheetId="30">#REF!</definedName>
    <definedName name="PY2_Gross_Profit" localSheetId="32">#REF!</definedName>
    <definedName name="PY2_Gross_Profit">#REF!</definedName>
    <definedName name="PY2_INC_AFT_TAX" localSheetId="31">#REF!</definedName>
    <definedName name="PY2_INC_AFT_TAX" localSheetId="30">#REF!</definedName>
    <definedName name="PY2_INC_AFT_TAX" localSheetId="32">#REF!</definedName>
    <definedName name="PY2_INC_AFT_TAX">#REF!</definedName>
    <definedName name="PY2_INC_BEF_EXTRAORD">#REF!</definedName>
    <definedName name="PY2_Inc_Bef_Tax">#REF!</definedName>
    <definedName name="PY2_Intangible_Assets">#REF!</definedName>
    <definedName name="PY2_Interest_Expense">#REF!</definedName>
    <definedName name="PY2_Inventory">#REF!</definedName>
    <definedName name="PY2_LIABIL_EQUITY">#REF!</definedName>
    <definedName name="PY2_Long_term_Debt__excl_Dfd_Taxes">#REF!</definedName>
    <definedName name="PY2_LT_Debt">'[34]Balance Sheet'!#REF!</definedName>
    <definedName name="PY2_Market_Value_of_Equity">'[34]Income Statement'!#REF!</definedName>
    <definedName name="PY2_Marketable_Sec" localSheetId="31">#REF!</definedName>
    <definedName name="PY2_Marketable_Sec" localSheetId="30">#REF!</definedName>
    <definedName name="PY2_Marketable_Sec" localSheetId="32">#REF!</definedName>
    <definedName name="PY2_Marketable_Sec">#REF!</definedName>
    <definedName name="PY2_NET_INCOME" localSheetId="31">#REF!</definedName>
    <definedName name="PY2_NET_INCOME" localSheetId="30">#REF!</definedName>
    <definedName name="PY2_NET_INCOME" localSheetId="32">#REF!</definedName>
    <definedName name="PY2_NET_INCOME">#REF!</definedName>
    <definedName name="PY2_Net_Revenue" localSheetId="31">#REF!</definedName>
    <definedName name="PY2_Net_Revenue" localSheetId="30">#REF!</definedName>
    <definedName name="PY2_Net_Revenue" localSheetId="32">#REF!</definedName>
    <definedName name="PY2_Net_Revenue">#REF!</definedName>
    <definedName name="PY2_Operating_Inc">#REF!</definedName>
    <definedName name="PY2_Operating_Income">#REF!</definedName>
    <definedName name="PY2_Other_Curr_Assets">#REF!</definedName>
    <definedName name="PY2_Other_Exp.">#REF!</definedName>
    <definedName name="PY2_Other_LT_Assets">#REF!</definedName>
    <definedName name="PY2_Other_LT_Liabilities">#REF!</definedName>
    <definedName name="PY2_Preferred_Stock">#REF!</definedName>
    <definedName name="PY2_QUICK_ASSETS">#REF!</definedName>
    <definedName name="PY2_Retained_Earnings">#REF!</definedName>
    <definedName name="PY2_Selling">#REF!</definedName>
    <definedName name="PY2_Tangible_Assets">#REF!</definedName>
    <definedName name="PY2_Tangible_Net_Worth">'[34]Income Statement'!#REF!</definedName>
    <definedName name="PY2_Taxes" localSheetId="31">#REF!</definedName>
    <definedName name="PY2_Taxes" localSheetId="30">#REF!</definedName>
    <definedName name="PY2_Taxes" localSheetId="32">#REF!</definedName>
    <definedName name="PY2_Taxes">#REF!</definedName>
    <definedName name="PY2_TOTAL_ASSETS" localSheetId="31">#REF!</definedName>
    <definedName name="PY2_TOTAL_ASSETS" localSheetId="30">#REF!</definedName>
    <definedName name="PY2_TOTAL_ASSETS" localSheetId="32">#REF!</definedName>
    <definedName name="PY2_TOTAL_ASSETS">#REF!</definedName>
    <definedName name="PY2_TOTAL_CURR_ASSETS" localSheetId="31">#REF!</definedName>
    <definedName name="PY2_TOTAL_CURR_ASSETS" localSheetId="30">#REF!</definedName>
    <definedName name="PY2_TOTAL_CURR_ASSETS" localSheetId="32">#REF!</definedName>
    <definedName name="PY2_TOTAL_CURR_ASSETS">#REF!</definedName>
    <definedName name="PY2_TOTAL_DEBT">#REF!</definedName>
    <definedName name="PY2_TOTAL_EQUITY">#REF!</definedName>
    <definedName name="PY2_Trade_Payables">#REF!</definedName>
    <definedName name="PY2_Weighted_Average">'[34]Income Statement'!#REF!</definedName>
    <definedName name="PY2_Working_Capital">'[34]Income Statement'!#REF!</definedName>
    <definedName name="PY2_Year_Income_Statement" localSheetId="31">#REF!</definedName>
    <definedName name="PY2_Year_Income_Statement" localSheetId="30">#REF!</definedName>
    <definedName name="PY2_Year_Income_Statement" localSheetId="32">#REF!</definedName>
    <definedName name="PY2_Year_Income_Statement">#REF!</definedName>
    <definedName name="PY3_Accounts_Receivable" localSheetId="31">#REF!</definedName>
    <definedName name="PY3_Accounts_Receivable" localSheetId="30">#REF!</definedName>
    <definedName name="PY3_Accounts_Receivable" localSheetId="32">#REF!</definedName>
    <definedName name="PY3_Accounts_Receivable">#REF!</definedName>
    <definedName name="PY3_Administration" localSheetId="31">#REF!</definedName>
    <definedName name="PY3_Administration" localSheetId="30">#REF!</definedName>
    <definedName name="PY3_Administration" localSheetId="32">#REF!</definedName>
    <definedName name="PY3_Administration">#REF!</definedName>
    <definedName name="PY3_Cash">#REF!</definedName>
    <definedName name="PY3_Common_Equity">#REF!</definedName>
    <definedName name="PY3_Cost_of_Sales">#REF!</definedName>
    <definedName name="PY3_Current_Liabilities">#REF!</definedName>
    <definedName name="PY3_Depreciation">#REF!</definedName>
    <definedName name="PY3_Disc._Ops.">#REF!</definedName>
    <definedName name="PY3_Extraord.">#REF!</definedName>
    <definedName name="PY3_Gross_Profit">#REF!</definedName>
    <definedName name="PY3_INC_AFT_TAX">#REF!</definedName>
    <definedName name="PY3_INC_BEF_EXTRAORD">#REF!</definedName>
    <definedName name="PY3_Inc_Bef_Tax">#REF!</definedName>
    <definedName name="PY3_Intangible_Assets">#REF!</definedName>
    <definedName name="PY3_Interest_Expense">#REF!</definedName>
    <definedName name="PY3_Inventory">#REF!</definedName>
    <definedName name="PY3_LIABIL_EQUITY">#REF!</definedName>
    <definedName name="PY3_Long_term_Debt__excl_Dfd_Taxes">#REF!</definedName>
    <definedName name="PY3_Marketable_Sec">#REF!</definedName>
    <definedName name="PY3_NET_INCOME">#REF!</definedName>
    <definedName name="PY3_Net_Revenue">#REF!</definedName>
    <definedName name="PY3_Operating_Inc">#REF!</definedName>
    <definedName name="PY3_Other_Curr_Assets">#REF!</definedName>
    <definedName name="PY3_Other_Exp.">#REF!</definedName>
    <definedName name="PY3_Other_LT_Assets">#REF!</definedName>
    <definedName name="PY3_Other_LT_Liabilities">#REF!</definedName>
    <definedName name="PY3_Preferred_Stock">#REF!</definedName>
    <definedName name="PY3_QUICK_ASSETS">#REF!</definedName>
    <definedName name="PY3_Retained_Earnings">#REF!</definedName>
    <definedName name="PY3_Selling">#REF!</definedName>
    <definedName name="PY3_Tangible_Assets">#REF!</definedName>
    <definedName name="PY3_Taxes">#REF!</definedName>
    <definedName name="PY3_TOTAL_ASSETS">#REF!</definedName>
    <definedName name="PY3_TOTAL_CURR_ASSETS">#REF!</definedName>
    <definedName name="PY3_TOTAL_DEBT">#REF!</definedName>
    <definedName name="PY3_TOTAL_EQUITY">#REF!</definedName>
    <definedName name="PY3_Trade_Payables">#REF!</definedName>
    <definedName name="PY3_Year_Income_Statement">#REF!</definedName>
    <definedName name="PY4_Accounts_Receivable">#REF!</definedName>
    <definedName name="PY4_Administration">#REF!</definedName>
    <definedName name="PY4_Cash">#REF!</definedName>
    <definedName name="PY4_Common_Equity">#REF!</definedName>
    <definedName name="PY4_Cost_of_Sales">#REF!</definedName>
    <definedName name="PY4_Current_Liabilities">#REF!</definedName>
    <definedName name="PY4_Depreciation">#REF!</definedName>
    <definedName name="PY4_Disc._Ops.">#REF!</definedName>
    <definedName name="PY4_Extraord.">#REF!</definedName>
    <definedName name="PY4_Gross_Profit">#REF!</definedName>
    <definedName name="PY4_INC_AFT_TAX">#REF!</definedName>
    <definedName name="PY4_INC_BEF_EXTRAORD">#REF!</definedName>
    <definedName name="PY4_Inc_Bef_Tax">#REF!</definedName>
    <definedName name="PY4_Intangible_Assets">#REF!</definedName>
    <definedName name="PY4_Interest_Expense">#REF!</definedName>
    <definedName name="PY4_Inventory">#REF!</definedName>
    <definedName name="PY4_LIABIL_EQUITY">#REF!</definedName>
    <definedName name="PY4_Long_term_Debt__excl_Dfd_Taxes">#REF!</definedName>
    <definedName name="PY4_Marketable_Sec">#REF!</definedName>
    <definedName name="PY4_NET_INCOME">#REF!</definedName>
    <definedName name="PY4_Net_Revenue">#REF!</definedName>
    <definedName name="PY4_Operating_Inc">#REF!</definedName>
    <definedName name="PY4_Other_Cur_Assets">#REF!</definedName>
    <definedName name="PY4_Other_Exp.">#REF!</definedName>
    <definedName name="PY4_Other_LT_Assets">#REF!</definedName>
    <definedName name="PY4_Other_LT_Liabilities">#REF!</definedName>
    <definedName name="PY4_Preferred_Stock">#REF!</definedName>
    <definedName name="PY4_QUICK_ASSETS">#REF!</definedName>
    <definedName name="PY4_Retained_Earnings">#REF!</definedName>
    <definedName name="PY4_Selling">#REF!</definedName>
    <definedName name="PY4_Tangible_Assets">#REF!</definedName>
    <definedName name="PY4_Taxes">#REF!</definedName>
    <definedName name="PY4_TOTAL_ASSETS">#REF!</definedName>
    <definedName name="PY4_TOTAL_CURR_ASSETS">#REF!</definedName>
    <definedName name="PY4_TOTAL_DEBT">#REF!</definedName>
    <definedName name="PY4_TOTAL_EQUITY">#REF!</definedName>
    <definedName name="PY4_Trade_Payables">#REF!</definedName>
    <definedName name="PY4_Year_Income_Statement">#REF!</definedName>
    <definedName name="PY5_Accounts_Receivable">#REF!</definedName>
    <definedName name="PY5_Administration">#REF!</definedName>
    <definedName name="PY5_Cash">#REF!</definedName>
    <definedName name="PY5_Common_Equity">#REF!</definedName>
    <definedName name="PY5_Cost_of_Sales">#REF!</definedName>
    <definedName name="PY5_Current_Liabilities">#REF!</definedName>
    <definedName name="PY5_Depreciation">#REF!</definedName>
    <definedName name="PY5_Disc._Ops.">#REF!</definedName>
    <definedName name="PY5_Extraord.">#REF!</definedName>
    <definedName name="PY5_Gross_Profit">#REF!</definedName>
    <definedName name="PY5_INC_AFT_TAX">#REF!</definedName>
    <definedName name="PY5_INC_BEF_EXTRAORD">#REF!</definedName>
    <definedName name="PY5_Inc_Bef_Tax">#REF!</definedName>
    <definedName name="PY5_Intangible_Assets">#REF!</definedName>
    <definedName name="PY5_Interest_Expense">#REF!</definedName>
    <definedName name="PY5_Inventory">#REF!</definedName>
    <definedName name="PY5_LIABIL_EQUITY">#REF!</definedName>
    <definedName name="PY5_Long_term_Debt__excl_Dfd_Taxes">#REF!</definedName>
    <definedName name="PY5_Marketable_Sec">#REF!</definedName>
    <definedName name="PY5_NET_INCOME">#REF!</definedName>
    <definedName name="PY5_Net_Revenue">#REF!</definedName>
    <definedName name="PY5_Operating_Inc">#REF!</definedName>
    <definedName name="PY5_Other_Curr_Assets">#REF!</definedName>
    <definedName name="PY5_Other_Exp.">#REF!</definedName>
    <definedName name="PY5_Other_LT_Assets">#REF!</definedName>
    <definedName name="PY5_Other_LT_Liabilities">#REF!</definedName>
    <definedName name="PY5_Preferred_Stock">#REF!</definedName>
    <definedName name="PY5_QUICK_ASSETS">#REF!</definedName>
    <definedName name="PY5_Retained_Earnings">#REF!</definedName>
    <definedName name="PY5_Selling">#REF!</definedName>
    <definedName name="PY5_Tangible_Assets">#REF!</definedName>
    <definedName name="PY5_Taxes">#REF!</definedName>
    <definedName name="PY5_TOTAL_ASSETS">#REF!</definedName>
    <definedName name="PY5_TOTAL_CURR_ASSETS">#REF!</definedName>
    <definedName name="PY5_TOTAL_DEBT">#REF!</definedName>
    <definedName name="PY5_TOTAL_EQUITY">#REF!</definedName>
    <definedName name="PY5_Trade_Payables">#REF!</definedName>
    <definedName name="PY5_Year_Income_Statement">#REF!</definedName>
    <definedName name="q" localSheetId="31">#REF!</definedName>
    <definedName name="q" localSheetId="42">#REF!</definedName>
    <definedName name="q" localSheetId="30">#REF!</definedName>
    <definedName name="q" localSheetId="32">#REF!</definedName>
    <definedName name="q" localSheetId="43">#REF!</definedName>
    <definedName name="q" localSheetId="5">#REF!</definedName>
    <definedName name="q" localSheetId="26">#REF!</definedName>
    <definedName name="q" localSheetId="9">#REF!</definedName>
    <definedName name="q" localSheetId="19">#REF!</definedName>
    <definedName name="q">#REF!</definedName>
    <definedName name="qaqa" localSheetId="31" hidden="1">{"'Grafik Kontrol'!$A$1:$J$8"}</definedName>
    <definedName name="qaqa" localSheetId="42" hidden="1">{"'Grafik Kontrol'!$A$1:$J$8"}</definedName>
    <definedName name="qaqa" localSheetId="30" hidden="1">{"'Grafik Kontrol'!$A$1:$J$8"}</definedName>
    <definedName name="qaqa" localSheetId="32" hidden="1">{"'Grafik Kontrol'!$A$1:$J$8"}</definedName>
    <definedName name="qaqa" localSheetId="43" hidden="1">{"'Grafik Kontrol'!$A$1:$J$8"}</definedName>
    <definedName name="qaqa" localSheetId="7" hidden="1">{"'Grafik Kontrol'!$A$1:$J$8"}</definedName>
    <definedName name="qaqa" localSheetId="5" hidden="1">{"'Grafik Kontrol'!$A$1:$J$8"}</definedName>
    <definedName name="qaqa" localSheetId="26" hidden="1">{"'Grafik Kontrol'!$A$1:$J$8"}</definedName>
    <definedName name="qaqa" localSheetId="21" hidden="1">{"'Grafik Kontrol'!$A$1:$J$8"}</definedName>
    <definedName name="qaqa" localSheetId="23" hidden="1">{"'Grafik Kontrol'!$A$1:$J$8"}</definedName>
    <definedName name="qaqa" localSheetId="9" hidden="1">{"'Grafik Kontrol'!$A$1:$J$8"}</definedName>
    <definedName name="qaqa" localSheetId="19" hidden="1">{"'Grafik Kontrol'!$A$1:$J$8"}</definedName>
    <definedName name="qaqa" localSheetId="22" hidden="1">{"'Grafik Kontrol'!$A$1:$J$8"}</definedName>
    <definedName name="qaqa" hidden="1">{"'Grafik Kontrol'!$A$1:$J$8"}</definedName>
    <definedName name="QQQWQ" localSheetId="31" hidden="1">{"'Grafik Kontrol'!$A$1:$J$8"}</definedName>
    <definedName name="QQQWQ" localSheetId="42" hidden="1">{"'Grafik Kontrol'!$A$1:$J$8"}</definedName>
    <definedName name="QQQWQ" localSheetId="30" hidden="1">{"'Grafik Kontrol'!$A$1:$J$8"}</definedName>
    <definedName name="QQQWQ" localSheetId="32" hidden="1">{"'Grafik Kontrol'!$A$1:$J$8"}</definedName>
    <definedName name="QQQWQ" localSheetId="43" hidden="1">{"'Grafik Kontrol'!$A$1:$J$8"}</definedName>
    <definedName name="QQQWQ" localSheetId="7" hidden="1">{"'Grafik Kontrol'!$A$1:$J$8"}</definedName>
    <definedName name="QQQWQ" localSheetId="5" hidden="1">{"'Grafik Kontrol'!$A$1:$J$8"}</definedName>
    <definedName name="QQQWQ" localSheetId="26" hidden="1">{"'Grafik Kontrol'!$A$1:$J$8"}</definedName>
    <definedName name="QQQWQ" localSheetId="21" hidden="1">{"'Grafik Kontrol'!$A$1:$J$8"}</definedName>
    <definedName name="QQQWQ" localSheetId="23" hidden="1">{"'Grafik Kontrol'!$A$1:$J$8"}</definedName>
    <definedName name="QQQWQ" localSheetId="9" hidden="1">{"'Grafik Kontrol'!$A$1:$J$8"}</definedName>
    <definedName name="QQQWQ" localSheetId="19" hidden="1">{"'Grafik Kontrol'!$A$1:$J$8"}</definedName>
    <definedName name="QQQWQ" localSheetId="22" hidden="1">{"'Grafik Kontrol'!$A$1:$J$8"}</definedName>
    <definedName name="QQQWQ" hidden="1">{"'Grafik Kontrol'!$A$1:$J$8"}</definedName>
    <definedName name="QRQER" localSheetId="31" hidden="1">{"'Grafik Kontrol'!$A$1:$J$8"}</definedName>
    <definedName name="QRQER" localSheetId="42" hidden="1">{"'Grafik Kontrol'!$A$1:$J$8"}</definedName>
    <definedName name="QRQER" localSheetId="30" hidden="1">{"'Grafik Kontrol'!$A$1:$J$8"}</definedName>
    <definedName name="QRQER" localSheetId="32" hidden="1">{"'Grafik Kontrol'!$A$1:$J$8"}</definedName>
    <definedName name="QRQER" localSheetId="43" hidden="1">{"'Grafik Kontrol'!$A$1:$J$8"}</definedName>
    <definedName name="QRQER" localSheetId="7" hidden="1">{"'Grafik Kontrol'!$A$1:$J$8"}</definedName>
    <definedName name="QRQER" localSheetId="5" hidden="1">{"'Grafik Kontrol'!$A$1:$J$8"}</definedName>
    <definedName name="QRQER" localSheetId="26" hidden="1">{"'Grafik Kontrol'!$A$1:$J$8"}</definedName>
    <definedName name="QRQER" localSheetId="21" hidden="1">{"'Grafik Kontrol'!$A$1:$J$8"}</definedName>
    <definedName name="QRQER" localSheetId="23" hidden="1">{"'Grafik Kontrol'!$A$1:$J$8"}</definedName>
    <definedName name="QRQER" localSheetId="9" hidden="1">{"'Grafik Kontrol'!$A$1:$J$8"}</definedName>
    <definedName name="QRQER" localSheetId="19" hidden="1">{"'Grafik Kontrol'!$A$1:$J$8"}</definedName>
    <definedName name="QRQER" localSheetId="22" hidden="1">{"'Grafik Kontrol'!$A$1:$J$8"}</definedName>
    <definedName name="QRQER" hidden="1">{"'Grafik Kontrol'!$A$1:$J$8"}</definedName>
    <definedName name="QWEW" localSheetId="31" hidden="1">{"'Grafik Kontrol'!$A$1:$J$8"}</definedName>
    <definedName name="QWEW" localSheetId="42" hidden="1">{"'Grafik Kontrol'!$A$1:$J$8"}</definedName>
    <definedName name="QWEW" localSheetId="30" hidden="1">{"'Grafik Kontrol'!$A$1:$J$8"}</definedName>
    <definedName name="QWEW" localSheetId="32" hidden="1">{"'Grafik Kontrol'!$A$1:$J$8"}</definedName>
    <definedName name="QWEW" localSheetId="43" hidden="1">{"'Grafik Kontrol'!$A$1:$J$8"}</definedName>
    <definedName name="QWEW" localSheetId="7" hidden="1">{"'Grafik Kontrol'!$A$1:$J$8"}</definedName>
    <definedName name="QWEW" localSheetId="5" hidden="1">{"'Grafik Kontrol'!$A$1:$J$8"}</definedName>
    <definedName name="QWEW" localSheetId="26" hidden="1">{"'Grafik Kontrol'!$A$1:$J$8"}</definedName>
    <definedName name="QWEW" localSheetId="21" hidden="1">{"'Grafik Kontrol'!$A$1:$J$8"}</definedName>
    <definedName name="QWEW" localSheetId="23" hidden="1">{"'Grafik Kontrol'!$A$1:$J$8"}</definedName>
    <definedName name="QWEW" localSheetId="9" hidden="1">{"'Grafik Kontrol'!$A$1:$J$8"}</definedName>
    <definedName name="QWEW" localSheetId="19" hidden="1">{"'Grafik Kontrol'!$A$1:$J$8"}</definedName>
    <definedName name="QWEW" localSheetId="22" hidden="1">{"'Grafik Kontrol'!$A$1:$J$8"}</definedName>
    <definedName name="QWEW" hidden="1">{"'Grafik Kontrol'!$A$1:$J$8"}</definedName>
    <definedName name="QWQW" localSheetId="31" hidden="1">{"'Grafik Kontrol'!$A$1:$J$8"}</definedName>
    <definedName name="QWQW" localSheetId="42" hidden="1">{"'Grafik Kontrol'!$A$1:$J$8"}</definedName>
    <definedName name="QWQW" localSheetId="30" hidden="1">{"'Grafik Kontrol'!$A$1:$J$8"}</definedName>
    <definedName name="QWQW" localSheetId="32" hidden="1">{"'Grafik Kontrol'!$A$1:$J$8"}</definedName>
    <definedName name="QWQW" localSheetId="43" hidden="1">{"'Grafik Kontrol'!$A$1:$J$8"}</definedName>
    <definedName name="QWQW" localSheetId="7" hidden="1">{"'Grafik Kontrol'!$A$1:$J$8"}</definedName>
    <definedName name="QWQW" localSheetId="5" hidden="1">{"'Grafik Kontrol'!$A$1:$J$8"}</definedName>
    <definedName name="QWQW" localSheetId="26" hidden="1">{"'Grafik Kontrol'!$A$1:$J$8"}</definedName>
    <definedName name="QWQW" localSheetId="21" hidden="1">{"'Grafik Kontrol'!$A$1:$J$8"}</definedName>
    <definedName name="QWQW" localSheetId="23" hidden="1">{"'Grafik Kontrol'!$A$1:$J$8"}</definedName>
    <definedName name="QWQW" localSheetId="9" hidden="1">{"'Grafik Kontrol'!$A$1:$J$8"}</definedName>
    <definedName name="QWQW" localSheetId="19" hidden="1">{"'Grafik Kontrol'!$A$1:$J$8"}</definedName>
    <definedName name="QWQW" localSheetId="22" hidden="1">{"'Grafik Kontrol'!$A$1:$J$8"}</definedName>
    <definedName name="QWQW" hidden="1">{"'Grafik Kontrol'!$A$1:$J$8"}</definedName>
    <definedName name="R_Factor" localSheetId="31">#REF!</definedName>
    <definedName name="R_Factor" localSheetId="42">#REF!</definedName>
    <definedName name="R_Factor" localSheetId="30">#REF!</definedName>
    <definedName name="R_Factor" localSheetId="32">#REF!</definedName>
    <definedName name="R_Factor" localSheetId="43">#REF!</definedName>
    <definedName name="R_Factor" localSheetId="5">#REF!</definedName>
    <definedName name="R_Factor" localSheetId="26">#REF!</definedName>
    <definedName name="R_Factor" localSheetId="9">#REF!</definedName>
    <definedName name="R_Factor" localSheetId="19">#REF!</definedName>
    <definedName name="R_Factor">#REF!</definedName>
    <definedName name="rate">'[13]ex rate'!$B$2:$C$14</definedName>
    <definedName name="Rate_anno">'[45]Bank Loan existing '!#REF!</definedName>
    <definedName name="Rate_anno__I">'[46]Piano ammort. all''Italiana'!$B$10</definedName>
    <definedName name="Rate_anno_preamm.">'[45]Bank Loan existing '!#REF!</definedName>
    <definedName name="Rate_anno_preamm.__I">'[46]Piano ammort. all''Italiana'!$E$6</definedName>
    <definedName name="ratio1" localSheetId="31">'4.2 Domestic market stratif'!ratio1</definedName>
    <definedName name="ratio1" localSheetId="30">'4.2 Export market stratif '!ratio1</definedName>
    <definedName name="ratio1" localSheetId="32">'4.3 Domestic product strati'!ratio1</definedName>
    <definedName name="ratio1" localSheetId="7">#N/A</definedName>
    <definedName name="ratio1" localSheetId="20">'Q1''23 CONSO vs BP Q1''22'!ratio1</definedName>
    <definedName name="ratio1" localSheetId="21">'Q1''23 SNA vs BP Q1''22'!ratio1</definedName>
    <definedName name="ratio1" localSheetId="23">'Q1''23 SND vs BP Q1''22'!ratio1</definedName>
    <definedName name="ratio1" localSheetId="11">'YTD Q1''23 Cons. vs Q1''22'!ratio1</definedName>
    <definedName name="ratio1" localSheetId="13">'YTD Sep Cons. vs PY V2'!ratio1</definedName>
    <definedName name="ratio1" localSheetId="22">'YTD Sep SND vs PY'!ratio1</definedName>
    <definedName name="ratio1">[0]!ratio1</definedName>
    <definedName name="ratio2" localSheetId="31">'4.2 Domestic market stratif'!ratio2</definedName>
    <definedName name="ratio2" localSheetId="30">'4.2 Export market stratif '!ratio2</definedName>
    <definedName name="ratio2" localSheetId="32">'4.3 Domestic product strati'!ratio2</definedName>
    <definedName name="ratio2" localSheetId="7">#N/A</definedName>
    <definedName name="ratio2" localSheetId="20">'Q1''23 CONSO vs BP Q1''22'!ratio2</definedName>
    <definedName name="ratio2" localSheetId="21">'Q1''23 SNA vs BP Q1''22'!ratio2</definedName>
    <definedName name="ratio2" localSheetId="23">'Q1''23 SND vs BP Q1''22'!ratio2</definedName>
    <definedName name="ratio2" localSheetId="11">'YTD Q1''23 Cons. vs Q1''22'!ratio2</definedName>
    <definedName name="ratio2" localSheetId="13">'YTD Sep Cons. vs PY V2'!ratio2</definedName>
    <definedName name="ratio2" localSheetId="22">'YTD Sep SND vs PY'!ratio2</definedName>
    <definedName name="ratio2">[0]!ratio2</definedName>
    <definedName name="RCArea" localSheetId="31" hidden="1">#REF!</definedName>
    <definedName name="RCArea" localSheetId="42" hidden="1">#REF!</definedName>
    <definedName name="RCArea" localSheetId="30" hidden="1">#REF!</definedName>
    <definedName name="RCArea" localSheetId="32" hidden="1">#REF!</definedName>
    <definedName name="RCArea" localSheetId="43" hidden="1">#REF!</definedName>
    <definedName name="RCArea" localSheetId="5" hidden="1">#REF!</definedName>
    <definedName name="RCArea" localSheetId="26" hidden="1">#REF!</definedName>
    <definedName name="RCArea" localSheetId="9" hidden="1">#REF!</definedName>
    <definedName name="RCArea" localSheetId="19" hidden="1">#REF!</definedName>
    <definedName name="RCArea" hidden="1">#REF!</definedName>
    <definedName name="Recover">[65]Macro1!$A$131</definedName>
    <definedName name="Refinance" localSheetId="31">#REF!</definedName>
    <definedName name="Refinance" localSheetId="42">#REF!</definedName>
    <definedName name="Refinance" localSheetId="30">#REF!</definedName>
    <definedName name="Refinance" localSheetId="32">#REF!</definedName>
    <definedName name="Refinance" localSheetId="43">#REF!</definedName>
    <definedName name="Refinance" localSheetId="5">#REF!</definedName>
    <definedName name="Refinance" localSheetId="26">#REF!</definedName>
    <definedName name="Refinance" localSheetId="9">#REF!</definedName>
    <definedName name="Refinance" localSheetId="19">#REF!</definedName>
    <definedName name="Refinance">#REF!</definedName>
    <definedName name="Repairs">#REF!</definedName>
    <definedName name="reportConsolidation">[18]Начална!$A$3</definedName>
    <definedName name="REPOSICION_AYUDA" localSheetId="31">#REF!</definedName>
    <definedName name="REPOSICION_AYUDA" localSheetId="30">#REF!</definedName>
    <definedName name="REPOSICION_AYUDA" localSheetId="32">#REF!</definedName>
    <definedName name="REPOSICION_AYUDA" localSheetId="20">#REF!</definedName>
    <definedName name="REPOSICION_AYUDA" localSheetId="11">#REF!</definedName>
    <definedName name="REPOSICION_AYUDA" localSheetId="13">#REF!</definedName>
    <definedName name="REPOSICION_AYUDA">#REF!</definedName>
    <definedName name="RESERVED_DATA" localSheetId="31">#REF!</definedName>
    <definedName name="RESERVED_DATA" localSheetId="30">#REF!</definedName>
    <definedName name="RESERVED_DATA" localSheetId="32">#REF!</definedName>
    <definedName name="RESERVED_DATA">#REF!</definedName>
    <definedName name="Residual_difference" localSheetId="31">#REF!</definedName>
    <definedName name="Residual_difference" localSheetId="42">#REF!</definedName>
    <definedName name="Residual_difference" localSheetId="30">#REF!</definedName>
    <definedName name="Residual_difference" localSheetId="32">#REF!</definedName>
    <definedName name="Residual_difference" localSheetId="43">#REF!</definedName>
    <definedName name="Residual_difference" localSheetId="5">#REF!</definedName>
    <definedName name="Residual_difference" localSheetId="26">#REF!</definedName>
    <definedName name="Residual_difference" localSheetId="9">#REF!</definedName>
    <definedName name="Residual_difference" localSheetId="19">#REF!</definedName>
    <definedName name="Residual_difference">#REF!</definedName>
    <definedName name="Resp">'[66]NDH activity Target Analysis'!$F$1062:$F$1075</definedName>
    <definedName name="resultat" localSheetId="31">'4.2 Domestic market stratif'!resultat</definedName>
    <definedName name="resultat" localSheetId="30">'4.2 Export market stratif '!resultat</definedName>
    <definedName name="resultat" localSheetId="32">'4.3 Domestic product strati'!resultat</definedName>
    <definedName name="resultat" localSheetId="7">#N/A</definedName>
    <definedName name="resultat" localSheetId="20">'Q1''23 CONSO vs BP Q1''22'!resultat</definedName>
    <definedName name="resultat" localSheetId="21">'Q1''23 SNA vs BP Q1''22'!resultat</definedName>
    <definedName name="resultat" localSheetId="23">'Q1''23 SND vs BP Q1''22'!resultat</definedName>
    <definedName name="resultat" localSheetId="11">'YTD Q1''23 Cons. vs Q1''22'!resultat</definedName>
    <definedName name="resultat" localSheetId="13">'YTD Sep Cons. vs PY V2'!resultat</definedName>
    <definedName name="resultat" localSheetId="22">'YTD Sep SND vs PY'!resultat</definedName>
    <definedName name="resultat">[0]!resultat</definedName>
    <definedName name="RESUMEN_I_AYUDA" localSheetId="31">#REF!</definedName>
    <definedName name="RESUMEN_I_AYUDA" localSheetId="30">#REF!</definedName>
    <definedName name="RESUMEN_I_AYUDA" localSheetId="32">#REF!</definedName>
    <definedName name="RESUMEN_I_AYUDA" localSheetId="20">#REF!</definedName>
    <definedName name="RESUMEN_I_AYUDA" localSheetId="11">#REF!</definedName>
    <definedName name="RESUMEN_I_AYUDA" localSheetId="13">#REF!</definedName>
    <definedName name="RESUMEN_I_AYUDA">#REF!</definedName>
    <definedName name="RESUMEN_II_AYUDA" localSheetId="20">#REF!</definedName>
    <definedName name="RESUMEN_II_AYUDA" localSheetId="11">#REF!</definedName>
    <definedName name="RESUMEN_II_AYUDA" localSheetId="13">#REF!</definedName>
    <definedName name="RESUMEN_II_AYUDA">#REF!</definedName>
    <definedName name="Retour_Menu" localSheetId="31">'4.2 Domestic market stratif'!Retour_Menu</definedName>
    <definedName name="Retour_Menu" localSheetId="30">'4.2 Export market stratif '!Retour_Menu</definedName>
    <definedName name="Retour_Menu" localSheetId="32">'4.3 Domestic product strati'!Retour_Menu</definedName>
    <definedName name="Retour_Menu" localSheetId="7">#N/A</definedName>
    <definedName name="Retour_Menu" localSheetId="20">'Q1''23 CONSO vs BP Q1''22'!Retour_Menu</definedName>
    <definedName name="Retour_Menu" localSheetId="21">'Q1''23 SNA vs BP Q1''22'!Retour_Menu</definedName>
    <definedName name="Retour_Menu" localSheetId="23">'Q1''23 SND vs BP Q1''22'!Retour_Menu</definedName>
    <definedName name="Retour_Menu" localSheetId="11">'YTD Q1''23 Cons. vs Q1''22'!Retour_Menu</definedName>
    <definedName name="Retour_Menu" localSheetId="13">'YTD Sep Cons. vs PY V2'!Retour_Menu</definedName>
    <definedName name="Retour_Menu" localSheetId="22">'YTD Sep SND vs PY'!Retour_Menu</definedName>
    <definedName name="Retour_Menu">[0]!Retour_Menu</definedName>
    <definedName name="RR" localSheetId="31" hidden="1">{"'Grafik Kontrol'!$A$1:$J$8"}</definedName>
    <definedName name="RR" localSheetId="42" hidden="1">{"'Grafik Kontrol'!$A$1:$J$8"}</definedName>
    <definedName name="RR" localSheetId="30" hidden="1">{"'Grafik Kontrol'!$A$1:$J$8"}</definedName>
    <definedName name="RR" localSheetId="32" hidden="1">{"'Grafik Kontrol'!$A$1:$J$8"}</definedName>
    <definedName name="RR" localSheetId="43" hidden="1">{"'Grafik Kontrol'!$A$1:$J$8"}</definedName>
    <definedName name="RR" localSheetId="7" hidden="1">{"'Grafik Kontrol'!$A$1:$J$8"}</definedName>
    <definedName name="RR" localSheetId="5" hidden="1">{"'Grafik Kontrol'!$A$1:$J$8"}</definedName>
    <definedName name="RR" localSheetId="26" hidden="1">{"'Grafik Kontrol'!$A$1:$J$8"}</definedName>
    <definedName name="RR" localSheetId="21" hidden="1">{"'Grafik Kontrol'!$A$1:$J$8"}</definedName>
    <definedName name="RR" localSheetId="23" hidden="1">{"'Grafik Kontrol'!$A$1:$J$8"}</definedName>
    <definedName name="RR" localSheetId="9" hidden="1">{"'Grafik Kontrol'!$A$1:$J$8"}</definedName>
    <definedName name="RR" localSheetId="19" hidden="1">{"'Grafik Kontrol'!$A$1:$J$8"}</definedName>
    <definedName name="RR" localSheetId="22" hidden="1">{"'Grafik Kontrol'!$A$1:$J$8"}</definedName>
    <definedName name="RR" hidden="1">{"'Grafik Kontrol'!$A$1:$J$8"}</definedName>
    <definedName name="s" localSheetId="5">'[67]Macro Bateries Drivers'!$O$10</definedName>
    <definedName name="s" localSheetId="26">'[68]Macro Bateries Drivers'!$O$10</definedName>
    <definedName name="s" localSheetId="9">'[69]Macro Bateries Drivers'!$O$10</definedName>
    <definedName name="s" localSheetId="19">'[69]Macro Bateries Drivers'!$O$10</definedName>
    <definedName name="s">'[70]Macro Bateries Drivers'!$O$10</definedName>
    <definedName name="S_AcctDes" localSheetId="31">#REF!</definedName>
    <definedName name="S_AcctDes" localSheetId="30">#REF!</definedName>
    <definedName name="S_AcctDes" localSheetId="32">#REF!</definedName>
    <definedName name="S_AcctDes">#REF!</definedName>
    <definedName name="S_Adjust" hidden="1">[38]Lead!#REF!</definedName>
    <definedName name="S_Adjust_Data" localSheetId="31">#REF!</definedName>
    <definedName name="S_Adjust_Data" localSheetId="30">#REF!</definedName>
    <definedName name="S_Adjust_Data" localSheetId="32">#REF!</definedName>
    <definedName name="S_Adjust_Data">#REF!</definedName>
    <definedName name="S_Adjust_GT" localSheetId="31">#REF!</definedName>
    <definedName name="S_Adjust_GT" localSheetId="30">#REF!</definedName>
    <definedName name="S_Adjust_GT" localSheetId="32">#REF!</definedName>
    <definedName name="S_Adjust_GT">#REF!</definedName>
    <definedName name="S_AJE_Tot" localSheetId="31" hidden="1">[38]Lead!#REF!</definedName>
    <definedName name="S_AJE_Tot" localSheetId="30" hidden="1">[38]Lead!#REF!</definedName>
    <definedName name="S_AJE_Tot" localSheetId="32" hidden="1">[38]Lead!#REF!</definedName>
    <definedName name="S_AJE_Tot" hidden="1">[38]Lead!#REF!</definedName>
    <definedName name="S_AJE_Tot_Data" localSheetId="31">#REF!</definedName>
    <definedName name="S_AJE_Tot_Data" localSheetId="30">#REF!</definedName>
    <definedName name="S_AJE_Tot_Data" localSheetId="32">#REF!</definedName>
    <definedName name="S_AJE_Tot_Data">#REF!</definedName>
    <definedName name="S_AJE_Tot_GT" localSheetId="31">#REF!</definedName>
    <definedName name="S_AJE_Tot_GT" localSheetId="30">#REF!</definedName>
    <definedName name="S_AJE_Tot_GT" localSheetId="32">#REF!</definedName>
    <definedName name="S_AJE_Tot_GT">#REF!</definedName>
    <definedName name="S_CompNum" localSheetId="31">#REF!</definedName>
    <definedName name="S_CompNum" localSheetId="30">#REF!</definedName>
    <definedName name="S_CompNum" localSheetId="32">#REF!</definedName>
    <definedName name="S_CompNum">#REF!</definedName>
    <definedName name="S_CY_Beg" localSheetId="31" hidden="1">[38]Lead!#REF!</definedName>
    <definedName name="S_CY_Beg" localSheetId="30" hidden="1">[38]Lead!#REF!</definedName>
    <definedName name="S_CY_Beg" localSheetId="32" hidden="1">[38]Lead!#REF!</definedName>
    <definedName name="S_CY_Beg" hidden="1">[38]Lead!#REF!</definedName>
    <definedName name="S_CY_Beg_Data" localSheetId="31">#REF!</definedName>
    <definedName name="S_CY_Beg_Data" localSheetId="30">#REF!</definedName>
    <definedName name="S_CY_Beg_Data" localSheetId="32">#REF!</definedName>
    <definedName name="S_CY_Beg_Data">#REF!</definedName>
    <definedName name="S_CY_Beg_GT" localSheetId="31">#REF!</definedName>
    <definedName name="S_CY_Beg_GT" localSheetId="30">#REF!</definedName>
    <definedName name="S_CY_Beg_GT" localSheetId="32">#REF!</definedName>
    <definedName name="S_CY_Beg_GT">#REF!</definedName>
    <definedName name="S_CY_End" localSheetId="31">#REF!</definedName>
    <definedName name="S_CY_End" localSheetId="30">#REF!</definedName>
    <definedName name="S_CY_End" localSheetId="32">#REF!</definedName>
    <definedName name="S_CY_End">#REF!</definedName>
    <definedName name="S_CY_End_Data">#REF!</definedName>
    <definedName name="S_CY_End_GT">#REF!</definedName>
    <definedName name="S_Diff_Amt">#REF!</definedName>
    <definedName name="S_Diff_Pct">#REF!</definedName>
    <definedName name="S_GrpNum">#REF!</definedName>
    <definedName name="S_Headings">#REF!</definedName>
    <definedName name="S_KeyValue">#REF!</definedName>
    <definedName name="S_PY_End">#REF!</definedName>
    <definedName name="S_PY_End_Data">#REF!</definedName>
    <definedName name="S_PY_End_GT">#REF!</definedName>
    <definedName name="S_RJE_Tot" hidden="1">[38]Lead!#REF!</definedName>
    <definedName name="S_RJE_Tot_Data" localSheetId="31">#REF!</definedName>
    <definedName name="S_RJE_Tot_Data" localSheetId="30">#REF!</definedName>
    <definedName name="S_RJE_Tot_Data" localSheetId="32">#REF!</definedName>
    <definedName name="S_RJE_Tot_Data">#REF!</definedName>
    <definedName name="S_RJE_Tot_GT" localSheetId="31">#REF!</definedName>
    <definedName name="S_RJE_Tot_GT" localSheetId="30">#REF!</definedName>
    <definedName name="S_RJE_Tot_GT" localSheetId="32">#REF!</definedName>
    <definedName name="S_RJE_Tot_GT">#REF!</definedName>
    <definedName name="S_RowNum" localSheetId="31">#REF!</definedName>
    <definedName name="S_RowNum" localSheetId="30">#REF!</definedName>
    <definedName name="S_RowNum" localSheetId="32">#REF!</definedName>
    <definedName name="S_RowNum">#REF!</definedName>
    <definedName name="Saisie" localSheetId="31">'4.2 Domestic market stratif'!Saisie</definedName>
    <definedName name="Saisie" localSheetId="30">'4.2 Export market stratif '!Saisie</definedName>
    <definedName name="Saisie" localSheetId="32">'4.3 Domestic product strati'!Saisie</definedName>
    <definedName name="Saisie" localSheetId="7">#N/A</definedName>
    <definedName name="Saisie" localSheetId="20">'Q1''23 CONSO vs BP Q1''22'!Saisie</definedName>
    <definedName name="Saisie" localSheetId="21">'Q1''23 SNA vs BP Q1''22'!Saisie</definedName>
    <definedName name="Saisie" localSheetId="23">'Q1''23 SND vs BP Q1''22'!Saisie</definedName>
    <definedName name="Saisie" localSheetId="11">'YTD Q1''23 Cons. vs Q1''22'!Saisie</definedName>
    <definedName name="Saisie" localSheetId="13">'YTD Sep Cons. vs PY V2'!Saisie</definedName>
    <definedName name="Saisie" localSheetId="22">'YTD Sep SND vs PY'!Saisie</definedName>
    <definedName name="Saisie">[0]!Saisie</definedName>
    <definedName name="sales" localSheetId="31">'[44]3. Subsequent cash'!#REF!</definedName>
    <definedName name="sales" localSheetId="30">'[44]3. Subsequent cash'!#REF!</definedName>
    <definedName name="sales" localSheetId="32">'[44]3. Subsequent cash'!#REF!</definedName>
    <definedName name="sales" localSheetId="7">'[44]3. Subsequent cash'!#REF!</definedName>
    <definedName name="sales" localSheetId="21">'[44]3. Subsequent cash'!#REF!</definedName>
    <definedName name="sales" localSheetId="23">'[44]3. Subsequent cash'!#REF!</definedName>
    <definedName name="sales" localSheetId="22">'[44]3. Subsequent cash'!#REF!</definedName>
    <definedName name="sales">'[44]3. Subsequent cash'!#REF!</definedName>
    <definedName name="Sauvegarde" localSheetId="31">'4.2 Domestic market stratif'!Sauvegarde</definedName>
    <definedName name="Sauvegarde" localSheetId="30">'4.2 Export market stratif '!Sauvegarde</definedName>
    <definedName name="Sauvegarde" localSheetId="32">'4.3 Domestic product strati'!Sauvegarde</definedName>
    <definedName name="Sauvegarde" localSheetId="7">#N/A</definedName>
    <definedName name="Sauvegarde" localSheetId="20">'Q1''23 CONSO vs BP Q1''22'!Sauvegarde</definedName>
    <definedName name="Sauvegarde" localSheetId="21">'Q1''23 SNA vs BP Q1''22'!Sauvegarde</definedName>
    <definedName name="Sauvegarde" localSheetId="23">'Q1''23 SND vs BP Q1''22'!Sauvegarde</definedName>
    <definedName name="Sauvegarde" localSheetId="11">'YTD Q1''23 Cons. vs Q1''22'!Sauvegarde</definedName>
    <definedName name="Sauvegarde" localSheetId="13">'YTD Sep Cons. vs PY V2'!Sauvegarde</definedName>
    <definedName name="Sauvegarde" localSheetId="22">'YTD Sep SND vs PY'!Sauvegarde</definedName>
    <definedName name="Sauvegarde">[0]!Sauvegarde</definedName>
    <definedName name="SEGMENTO_AYUDA" localSheetId="31">#REF!</definedName>
    <definedName name="SEGMENTO_AYUDA" localSheetId="30">#REF!</definedName>
    <definedName name="SEGMENTO_AYUDA" localSheetId="32">#REF!</definedName>
    <definedName name="SEGMENTO_AYUDA" localSheetId="20">#REF!</definedName>
    <definedName name="SEGMENTO_AYUDA" localSheetId="11">#REF!</definedName>
    <definedName name="SEGMENTO_AYUDA" localSheetId="13">#REF!</definedName>
    <definedName name="SEGMENTO_AYUDA">#REF!</definedName>
    <definedName name="select" localSheetId="31">'4.2 Domestic market stratif'!select</definedName>
    <definedName name="select" localSheetId="30">'4.2 Export market stratif '!select</definedName>
    <definedName name="select" localSheetId="32">'4.3 Domestic product strati'!select</definedName>
    <definedName name="select" localSheetId="7">#N/A</definedName>
    <definedName name="select" localSheetId="20">'Q1''23 CONSO vs BP Q1''22'!select</definedName>
    <definedName name="select" localSheetId="21">'Q1''23 SNA vs BP Q1''22'!select</definedName>
    <definedName name="select" localSheetId="23">'Q1''23 SND vs BP Q1''22'!select</definedName>
    <definedName name="select" localSheetId="11">'YTD Q1''23 Cons. vs Q1''22'!select</definedName>
    <definedName name="select" localSheetId="13">'YTD Sep Cons. vs PY V2'!select</definedName>
    <definedName name="select" localSheetId="22">'YTD Sep SND vs PY'!select</definedName>
    <definedName name="select">[0]!select</definedName>
    <definedName name="semitractionlow" localSheetId="5">'[67]Macro Bateries Drivers'!$O$25</definedName>
    <definedName name="semitractionlow" localSheetId="26">'[68]Macro Bateries Drivers'!$O$25</definedName>
    <definedName name="semitractionlow" localSheetId="9">'[69]Macro Bateries Drivers'!$O$25</definedName>
    <definedName name="semitractionlow" localSheetId="19">'[69]Macro Bateries Drivers'!$O$25</definedName>
    <definedName name="semitractionlow">'[70]Macro Bateries Drivers'!$O$25</definedName>
    <definedName name="sencount" hidden="1">1</definedName>
    <definedName name="Separator">[42]Data!$E$20:$F$26</definedName>
    <definedName name="SeparM2" localSheetId="31">#REF!</definedName>
    <definedName name="SeparM2" localSheetId="30">#REF!</definedName>
    <definedName name="SeparM2" localSheetId="32">#REF!</definedName>
    <definedName name="SeparM2" localSheetId="9">#REF!</definedName>
    <definedName name="SeparM2" localSheetId="19">#REF!</definedName>
    <definedName name="SeparM2">#REF!</definedName>
    <definedName name="Sh1_Shown_As" localSheetId="31">#REF!</definedName>
    <definedName name="Sh1_Shown_As" localSheetId="42">#REF!</definedName>
    <definedName name="Sh1_Shown_As" localSheetId="30">#REF!</definedName>
    <definedName name="Sh1_Shown_As" localSheetId="32">#REF!</definedName>
    <definedName name="Sh1_Shown_As" localSheetId="43">#REF!</definedName>
    <definedName name="Sh1_Shown_As" localSheetId="5">#REF!</definedName>
    <definedName name="Sh1_Shown_As" localSheetId="26">#REF!</definedName>
    <definedName name="Sh1_Shown_As" localSheetId="9">#REF!</definedName>
    <definedName name="Sh1_Shown_As" localSheetId="19">#REF!</definedName>
    <definedName name="Sh1_Shown_As">#REF!</definedName>
    <definedName name="Sh1_To_Be_Shown_As" localSheetId="31">#REF!</definedName>
    <definedName name="Sh1_To_Be_Shown_As" localSheetId="42">#REF!</definedName>
    <definedName name="Sh1_To_Be_Shown_As" localSheetId="30">#REF!</definedName>
    <definedName name="Sh1_To_Be_Shown_As" localSheetId="32">#REF!</definedName>
    <definedName name="Sh1_To_Be_Shown_As" localSheetId="43">#REF!</definedName>
    <definedName name="Sh1_To_Be_Shown_As" localSheetId="5">#REF!</definedName>
    <definedName name="Sh1_To_Be_Shown_As" localSheetId="26">#REF!</definedName>
    <definedName name="Sh1_To_Be_Shown_As" localSheetId="9">#REF!</definedName>
    <definedName name="Sh1_To_Be_Shown_As" localSheetId="19">#REF!</definedName>
    <definedName name="Sh1_To_Be_Shown_As">#REF!</definedName>
    <definedName name="Solde00" localSheetId="20">'[14]Balance comparative (2)'!$F:$F</definedName>
    <definedName name="Solde00" localSheetId="11">'[14]Balance comparative (2)'!$F:$F</definedName>
    <definedName name="Solde00" localSheetId="13">'[14]Balance comparative (2)'!$F:$F</definedName>
    <definedName name="Solde00">'[14]Balance comparative (2)'!$F:$F</definedName>
    <definedName name="Solde01" localSheetId="20">'[14]Balance comparative (2)'!$G:$G</definedName>
    <definedName name="Solde01" localSheetId="11">'[14]Balance comparative (2)'!$G:$G</definedName>
    <definedName name="Solde01" localSheetId="13">'[14]Balance comparative (2)'!$G:$G</definedName>
    <definedName name="Solde01">'[14]Balance comparative (2)'!$G:$G</definedName>
    <definedName name="SortAlanı_Toplam" localSheetId="31">[23]YATIRIMLAR!#REF!</definedName>
    <definedName name="SortAlanı_Toplam" localSheetId="42">[23]YATIRIMLAR!#REF!</definedName>
    <definedName name="SortAlanı_Toplam" localSheetId="30">[23]YATIRIMLAR!#REF!</definedName>
    <definedName name="SortAlanı_Toplam" localSheetId="32">[23]YATIRIMLAR!#REF!</definedName>
    <definedName name="SortAlanı_Toplam" localSheetId="43">[23]YATIRIMLAR!#REF!</definedName>
    <definedName name="SortAlanı_Toplam" localSheetId="5">[23]YATIRIMLAR!#REF!</definedName>
    <definedName name="SortAlanı_Toplam" localSheetId="26">[24]YATIRIMLAR!#REF!</definedName>
    <definedName name="SortAlanı_Toplam" localSheetId="9">[23]YATIRIMLAR!#REF!</definedName>
    <definedName name="SortAlanı_Toplam" localSheetId="19">[23]YATIRIMLAR!#REF!</definedName>
    <definedName name="SortAlanı_Toplam">[23]YATIRIMLAR!#REF!</definedName>
    <definedName name="SpecialPrice" localSheetId="31" hidden="1">#REF!</definedName>
    <definedName name="SpecialPrice" localSheetId="42" hidden="1">#REF!</definedName>
    <definedName name="SpecialPrice" localSheetId="30" hidden="1">#REF!</definedName>
    <definedName name="SpecialPrice" localSheetId="32" hidden="1">#REF!</definedName>
    <definedName name="SpecialPrice" localSheetId="43" hidden="1">#REF!</definedName>
    <definedName name="SpecialPrice" localSheetId="5" hidden="1">#REF!</definedName>
    <definedName name="SpecialPrice" localSheetId="26" hidden="1">#REF!</definedName>
    <definedName name="SpecialPrice" localSheetId="9" hidden="1">#REF!</definedName>
    <definedName name="SpecialPrice" localSheetId="19" hidden="1">#REF!</definedName>
    <definedName name="SpecialPrice" hidden="1">#REF!</definedName>
    <definedName name="srgsg" localSheetId="31" hidden="1">{"'domaće količine'!$K$34:$P$47"}</definedName>
    <definedName name="srgsg" localSheetId="42" hidden="1">{"'domaće količine'!$K$34:$P$47"}</definedName>
    <definedName name="srgsg" localSheetId="30" hidden="1">{"'domaće količine'!$K$34:$P$47"}</definedName>
    <definedName name="srgsg" localSheetId="32" hidden="1">{"'domaće količine'!$K$34:$P$47"}</definedName>
    <definedName name="srgsg" localSheetId="43" hidden="1">{"'domaće količine'!$K$34:$P$47"}</definedName>
    <definedName name="srgsg" localSheetId="7" hidden="1">{"'domaće količine'!$K$34:$P$47"}</definedName>
    <definedName name="srgsg" localSheetId="5" hidden="1">{"'domaće količine'!$K$34:$P$47"}</definedName>
    <definedName name="srgsg" localSheetId="26" hidden="1">{"'domaće količine'!$K$34:$P$47"}</definedName>
    <definedName name="srgsg" localSheetId="21" hidden="1">{"'domaće količine'!$K$34:$P$47"}</definedName>
    <definedName name="srgsg" localSheetId="23" hidden="1">{"'domaće količine'!$K$34:$P$47"}</definedName>
    <definedName name="srgsg" localSheetId="9" hidden="1">{"'domaće količine'!$K$34:$P$47"}</definedName>
    <definedName name="srgsg" localSheetId="19" hidden="1">{"'domaće količine'!$K$34:$P$47"}</definedName>
    <definedName name="srgsg" localSheetId="22" hidden="1">{"'domaće količine'!$K$34:$P$47"}</definedName>
    <definedName name="srgsg" hidden="1">{"'domaće količine'!$K$34:$P$47"}</definedName>
    <definedName name="stationarylow" localSheetId="5">'[67]Macro Bateries Drivers'!$O$17</definedName>
    <definedName name="stationarylow" localSheetId="26">'[68]Macro Bateries Drivers'!$O$17</definedName>
    <definedName name="stationarylow" localSheetId="9">'[69]Macro Bateries Drivers'!$O$17</definedName>
    <definedName name="stationarylow" localSheetId="19">'[69]Macro Bateries Drivers'!$O$17</definedName>
    <definedName name="stationarylow">'[70]Macro Bateries Drivers'!$O$17</definedName>
    <definedName name="STELSEL">'[25](H) DATASHEET'!$A$77:$A$79</definedName>
    <definedName name="STUK">'[25](H) DATASHEET'!$C$14</definedName>
    <definedName name="SUGERENCIAS_AYUDA" localSheetId="31">#REF!</definedName>
    <definedName name="SUGERENCIAS_AYUDA" localSheetId="30">#REF!</definedName>
    <definedName name="SUGERENCIAS_AYUDA" localSheetId="32">#REF!</definedName>
    <definedName name="SUGERENCIAS_AYUDA" localSheetId="20">#REF!</definedName>
    <definedName name="SUGERENCIAS_AYUDA" localSheetId="11">#REF!</definedName>
    <definedName name="SUGERENCIAS_AYUDA" localSheetId="13">#REF!</definedName>
    <definedName name="SUGERENCIAS_AYUDA">#REF!</definedName>
    <definedName name="sum" localSheetId="9">#REF!</definedName>
    <definedName name="sum" localSheetId="19">#REF!</definedName>
    <definedName name="sum">#REF!</definedName>
    <definedName name="sw" localSheetId="31" hidden="1">{"'domaće količine'!$K$34:$P$47"}</definedName>
    <definedName name="sw" localSheetId="42" hidden="1">{"'domaće količine'!$K$34:$P$47"}</definedName>
    <definedName name="sw" localSheetId="30" hidden="1">{"'domaće količine'!$K$34:$P$47"}</definedName>
    <definedName name="sw" localSheetId="32" hidden="1">{"'domaće količine'!$K$34:$P$47"}</definedName>
    <definedName name="sw" localSheetId="43" hidden="1">{"'domaće količine'!$K$34:$P$47"}</definedName>
    <definedName name="sw" localSheetId="7" hidden="1">{"'domaće količine'!$K$34:$P$47"}</definedName>
    <definedName name="sw" localSheetId="5" hidden="1">{"'domaće količine'!$K$34:$P$47"}</definedName>
    <definedName name="sw" localSheetId="26" hidden="1">{"'domaće količine'!$K$34:$P$47"}</definedName>
    <definedName name="sw" localSheetId="21" hidden="1">{"'domaće količine'!$K$34:$P$47"}</definedName>
    <definedName name="sw" localSheetId="23" hidden="1">{"'domaće količine'!$K$34:$P$47"}</definedName>
    <definedName name="sw" localSheetId="9" hidden="1">{"'domaće količine'!$K$34:$P$47"}</definedName>
    <definedName name="sw" localSheetId="19" hidden="1">{"'domaće količine'!$K$34:$P$47"}</definedName>
    <definedName name="sw" localSheetId="22" hidden="1">{"'domaće količine'!$K$34:$P$47"}</definedName>
    <definedName name="sw" hidden="1">{"'domaće količine'!$K$34:$P$47"}</definedName>
    <definedName name="t" localSheetId="31" hidden="1">{"'Grafik Kontrol'!$A$1:$J$8"}</definedName>
    <definedName name="t" localSheetId="42" hidden="1">{"'Grafik Kontrol'!$A$1:$J$8"}</definedName>
    <definedName name="t" localSheetId="30" hidden="1">{"'Grafik Kontrol'!$A$1:$J$8"}</definedName>
    <definedName name="t" localSheetId="32" hidden="1">{"'Grafik Kontrol'!$A$1:$J$8"}</definedName>
    <definedName name="t" localSheetId="43" hidden="1">{"'Grafik Kontrol'!$A$1:$J$8"}</definedName>
    <definedName name="t" localSheetId="7" hidden="1">{"'Grafik Kontrol'!$A$1:$J$8"}</definedName>
    <definedName name="t" localSheetId="5" hidden="1">{"'Grafik Kontrol'!$A$1:$J$8"}</definedName>
    <definedName name="t" localSheetId="26" hidden="1">{"'Grafik Kontrol'!$A$1:$J$8"}</definedName>
    <definedName name="t" localSheetId="21" hidden="1">{"'Grafik Kontrol'!$A$1:$J$8"}</definedName>
    <definedName name="t" localSheetId="23" hidden="1">{"'Grafik Kontrol'!$A$1:$J$8"}</definedName>
    <definedName name="t" localSheetId="9" hidden="1">{"'Grafik Kontrol'!$A$1:$J$8"}</definedName>
    <definedName name="t" localSheetId="19" hidden="1">{"'Grafik Kontrol'!$A$1:$J$8"}</definedName>
    <definedName name="t" localSheetId="22" hidden="1">{"'Grafik Kontrol'!$A$1:$J$8"}</definedName>
    <definedName name="t" hidden="1">{"'Grafik Kontrol'!$A$1:$J$8"}</definedName>
    <definedName name="T_OV_2001" localSheetId="31">#REF!</definedName>
    <definedName name="T_OV_2001" localSheetId="42">#REF!</definedName>
    <definedName name="T_OV_2001" localSheetId="30">#REF!</definedName>
    <definedName name="T_OV_2001" localSheetId="32">#REF!</definedName>
    <definedName name="T_OV_2001" localSheetId="43">#REF!</definedName>
    <definedName name="T_OV_2001" localSheetId="5">#REF!</definedName>
    <definedName name="T_OV_2001" localSheetId="26">#REF!</definedName>
    <definedName name="T_OV_2001" localSheetId="9">#REF!</definedName>
    <definedName name="T_OV_2001" localSheetId="19">#REF!</definedName>
    <definedName name="T_OV_2001">#REF!</definedName>
    <definedName name="table1">#REF!</definedName>
    <definedName name="TableName">"Dummy"</definedName>
    <definedName name="Tasso_annuo">'[45]Bank Loan existing '!#REF!</definedName>
    <definedName name="Tasso_annuo__I">'[46]Piano ammort. all''Italiana'!$B$6</definedName>
    <definedName name="Tax_Effect_Liabs">'[33]Summary of Misstatements'!$J$53</definedName>
    <definedName name="Tax_Rate">'[33]Summary of Misstatements'!$B$2</definedName>
    <definedName name="tbl_ProdInfo" localSheetId="31" hidden="1">#REF!</definedName>
    <definedName name="tbl_ProdInfo" localSheetId="42" hidden="1">#REF!</definedName>
    <definedName name="tbl_ProdInfo" localSheetId="30" hidden="1">#REF!</definedName>
    <definedName name="tbl_ProdInfo" localSheetId="32" hidden="1">#REF!</definedName>
    <definedName name="tbl_ProdInfo" localSheetId="43" hidden="1">#REF!</definedName>
    <definedName name="tbl_ProdInfo" localSheetId="5" hidden="1">#REF!</definedName>
    <definedName name="tbl_ProdInfo" localSheetId="26" hidden="1">#REF!</definedName>
    <definedName name="tbl_ProdInfo" localSheetId="9" hidden="1">#REF!</definedName>
    <definedName name="tbl_ProdInfo" localSheetId="19" hidden="1">#REF!</definedName>
    <definedName name="tbl_ProdInfo" hidden="1">#REF!</definedName>
    <definedName name="test" localSheetId="31">#REF!</definedName>
    <definedName name="test" localSheetId="42">#REF!</definedName>
    <definedName name="test" localSheetId="30">#REF!</definedName>
    <definedName name="test" localSheetId="32">#REF!</definedName>
    <definedName name="test" localSheetId="43">#REF!</definedName>
    <definedName name="test" localSheetId="5">#REF!</definedName>
    <definedName name="test" localSheetId="26">#REF!</definedName>
    <definedName name="test" localSheetId="9">#REF!</definedName>
    <definedName name="test" localSheetId="19">#REF!</definedName>
    <definedName name="test">#REF!</definedName>
    <definedName name="Test_Depreciation_BY_Tests_OF_Detail">#REF!</definedName>
    <definedName name="TextA">#REF!</definedName>
    <definedName name="TextB1">#REF!</definedName>
    <definedName name="TextB2">#REF!</definedName>
    <definedName name="TextB3">#REF!</definedName>
    <definedName name="TextC">#REF!</definedName>
    <definedName name="TextD">#REF!</definedName>
    <definedName name="TextE">#REF!</definedName>
    <definedName name="TextF">#REF!</definedName>
    <definedName name="TextG">#REF!</definedName>
    <definedName name="TextH">#REF!</definedName>
    <definedName name="TextI">#REF!</definedName>
    <definedName name="TextJ">#REF!</definedName>
    <definedName name="TextK">#REF!</definedName>
    <definedName name="TextL">#REF!</definedName>
    <definedName name="TextM">#REF!</definedName>
    <definedName name="TextN">#REF!</definedName>
    <definedName name="TextO">#REF!</definedName>
    <definedName name="TextP">#REF!</definedName>
    <definedName name="TextQ">#REF!</definedName>
    <definedName name="TextR">#REF!</definedName>
    <definedName name="TextRefCopy1">[71]Summary!#REF!</definedName>
    <definedName name="TextRefCopy10">[71]Summary!#REF!</definedName>
    <definedName name="TextRefCopy100">[71]Summary!$M$45</definedName>
    <definedName name="TextRefCopy101">[71]Summary!#REF!</definedName>
    <definedName name="TextRefCopy102">'[72]EFG 1{100-532}'!$J$5</definedName>
    <definedName name="TextRefCopy103">'[73]RFB 28.11.2013'!$K$5</definedName>
    <definedName name="TextRefCopy104">[71]Summary!$M$43</definedName>
    <definedName name="TextRefCopy105">[71]Summary!$N$43</definedName>
    <definedName name="TextRefCopy106">'[73]EFG 1{100-532}'!#REF!</definedName>
    <definedName name="TextRefCopy107">[71]Summary!#REF!</definedName>
    <definedName name="TextRefCopy108" localSheetId="31">#REF!</definedName>
    <definedName name="TextRefCopy108" localSheetId="30">#REF!</definedName>
    <definedName name="TextRefCopy108" localSheetId="32">#REF!</definedName>
    <definedName name="TextRefCopy108">#REF!</definedName>
    <definedName name="TextRefCopy109">'[73]EFG 1{100-532}'!#REF!</definedName>
    <definedName name="TextRefCopy11">[71]Summary!#REF!</definedName>
    <definedName name="TextRefCopy110">'[72]EFG 1{100-532}'!$C$11</definedName>
    <definedName name="TextRefCopy112" localSheetId="31">#REF!</definedName>
    <definedName name="TextRefCopy112" localSheetId="30">#REF!</definedName>
    <definedName name="TextRefCopy112" localSheetId="32">#REF!</definedName>
    <definedName name="TextRefCopy112">#REF!</definedName>
    <definedName name="TextRefCopy113">'[72]RFB 28.11.2013'!$C$14</definedName>
    <definedName name="TextRefCopy115" localSheetId="31">#REF!</definedName>
    <definedName name="TextRefCopy115" localSheetId="30">#REF!</definedName>
    <definedName name="TextRefCopy115" localSheetId="32">#REF!</definedName>
    <definedName name="TextRefCopy115">#REF!</definedName>
    <definedName name="TextRefCopy116" localSheetId="31">#REF!</definedName>
    <definedName name="TextRefCopy116" localSheetId="30">#REF!</definedName>
    <definedName name="TextRefCopy116" localSheetId="32">#REF!</definedName>
    <definedName name="TextRefCopy116">#REF!</definedName>
    <definedName name="TextRefCopy117" localSheetId="31">#REF!</definedName>
    <definedName name="TextRefCopy117" localSheetId="30">#REF!</definedName>
    <definedName name="TextRefCopy117" localSheetId="32">#REF!</definedName>
    <definedName name="TextRefCopy117">#REF!</definedName>
    <definedName name="TextRefCopy118">#REF!</definedName>
    <definedName name="TextRefCopy119">#REF!</definedName>
    <definedName name="TextRefCopy12">[71]Summary!#REF!</definedName>
    <definedName name="TextRefCopy120" localSheetId="31">#REF!</definedName>
    <definedName name="TextRefCopy120" localSheetId="30">#REF!</definedName>
    <definedName name="TextRefCopy120" localSheetId="32">#REF!</definedName>
    <definedName name="TextRefCopy120">#REF!</definedName>
    <definedName name="TextRefCopy121" localSheetId="31">#REF!</definedName>
    <definedName name="TextRefCopy121" localSheetId="30">#REF!</definedName>
    <definedName name="TextRefCopy121" localSheetId="32">#REF!</definedName>
    <definedName name="TextRefCopy121">#REF!</definedName>
    <definedName name="TextRefCopy122" localSheetId="31">#REF!</definedName>
    <definedName name="TextRefCopy122" localSheetId="30">#REF!</definedName>
    <definedName name="TextRefCopy122" localSheetId="32">#REF!</definedName>
    <definedName name="TextRefCopy122">#REF!</definedName>
    <definedName name="TextRefCopy123">#REF!</definedName>
    <definedName name="TextRefCopy124">'[35]RFB 25.02.2014'!$C$13</definedName>
    <definedName name="TextRefCopy125" localSheetId="31">#REF!</definedName>
    <definedName name="TextRefCopy125" localSheetId="30">#REF!</definedName>
    <definedName name="TextRefCopy125" localSheetId="32">#REF!</definedName>
    <definedName name="TextRefCopy125">#REF!</definedName>
    <definedName name="TextRefCopy126" localSheetId="31">#REF!</definedName>
    <definedName name="TextRefCopy126" localSheetId="30">#REF!</definedName>
    <definedName name="TextRefCopy126" localSheetId="32">#REF!</definedName>
    <definedName name="TextRefCopy126">#REF!</definedName>
    <definedName name="TextRefCopy129" localSheetId="31">'[36]EFG 3 {339)'!#REF!</definedName>
    <definedName name="TextRefCopy129" localSheetId="30">'[36]EFG 3 {339)'!#REF!</definedName>
    <definedName name="TextRefCopy129" localSheetId="32">'[36]EFG 3 {339)'!#REF!</definedName>
    <definedName name="TextRefCopy129">'[36]EFG 3 {339)'!#REF!</definedName>
    <definedName name="TextRefCopy13" localSheetId="31">[71]Summary!#REF!</definedName>
    <definedName name="TextRefCopy13" localSheetId="30">[71]Summary!#REF!</definedName>
    <definedName name="TextRefCopy13" localSheetId="32">[71]Summary!#REF!</definedName>
    <definedName name="TextRefCopy13">[71]Summary!#REF!</definedName>
    <definedName name="TextRefCopy133" localSheetId="31">#REF!</definedName>
    <definedName name="TextRefCopy133" localSheetId="30">#REF!</definedName>
    <definedName name="TextRefCopy133" localSheetId="32">#REF!</definedName>
    <definedName name="TextRefCopy133">#REF!</definedName>
    <definedName name="TextRefCopy134" localSheetId="31">#REF!</definedName>
    <definedName name="TextRefCopy134" localSheetId="30">#REF!</definedName>
    <definedName name="TextRefCopy134" localSheetId="32">#REF!</definedName>
    <definedName name="TextRefCopy134">#REF!</definedName>
    <definedName name="TextRefCopy135" localSheetId="31">'[36]EFG 3 {339)'!#REF!</definedName>
    <definedName name="TextRefCopy135" localSheetId="30">'[36]EFG 3 {339)'!#REF!</definedName>
    <definedName name="TextRefCopy135" localSheetId="32">'[36]EFG 3 {339)'!#REF!</definedName>
    <definedName name="TextRefCopy135">'[36]EFG 3 {339)'!#REF!</definedName>
    <definedName name="TextRefCopy136" localSheetId="31">#REF!</definedName>
    <definedName name="TextRefCopy136" localSheetId="30">#REF!</definedName>
    <definedName name="TextRefCopy136" localSheetId="32">#REF!</definedName>
    <definedName name="TextRefCopy136">#REF!</definedName>
    <definedName name="TextRefCopy137" localSheetId="31">#REF!</definedName>
    <definedName name="TextRefCopy137" localSheetId="30">#REF!</definedName>
    <definedName name="TextRefCopy137" localSheetId="32">#REF!</definedName>
    <definedName name="TextRefCopy137">#REF!</definedName>
    <definedName name="TextRefCopy14" localSheetId="31">[71]Summary!#REF!</definedName>
    <definedName name="TextRefCopy14" localSheetId="30">[71]Summary!#REF!</definedName>
    <definedName name="TextRefCopy14" localSheetId="32">[71]Summary!#REF!</definedName>
    <definedName name="TextRefCopy14">[71]Summary!#REF!</definedName>
    <definedName name="TextRefCopy140">'[72]Hypo 7.10.2014'!$C$9</definedName>
    <definedName name="TextRefCopy144" localSheetId="31">#REF!</definedName>
    <definedName name="TextRefCopy144" localSheetId="30">#REF!</definedName>
    <definedName name="TextRefCopy144" localSheetId="32">#REF!</definedName>
    <definedName name="TextRefCopy144">#REF!</definedName>
    <definedName name="TextRefCopy15">[71]Summary!#REF!</definedName>
    <definedName name="TextRefCopy16">[71]Summary!#REF!</definedName>
    <definedName name="TextRefCopy17">[71]Summary!#REF!</definedName>
    <definedName name="TextRefCopy18" localSheetId="31">#REF!</definedName>
    <definedName name="TextRefCopy18" localSheetId="30">#REF!</definedName>
    <definedName name="TextRefCopy18" localSheetId="32">#REF!</definedName>
    <definedName name="TextRefCopy18">#REF!</definedName>
    <definedName name="TextRefCopy19" localSheetId="31">#REF!</definedName>
    <definedName name="TextRefCopy19" localSheetId="30">#REF!</definedName>
    <definedName name="TextRefCopy19" localSheetId="32">#REF!</definedName>
    <definedName name="TextRefCopy19">#REF!</definedName>
    <definedName name="TextRefCopy2" localSheetId="31">[71]Summary!#REF!</definedName>
    <definedName name="TextRefCopy2" localSheetId="30">[71]Summary!#REF!</definedName>
    <definedName name="TextRefCopy2" localSheetId="32">[71]Summary!#REF!</definedName>
    <definedName name="TextRefCopy2">[71]Summary!#REF!</definedName>
    <definedName name="TextRefCopy20" localSheetId="31">[71]Summary!#REF!</definedName>
    <definedName name="TextRefCopy20" localSheetId="30">[71]Summary!#REF!</definedName>
    <definedName name="TextRefCopy20" localSheetId="32">[71]Summary!#REF!</definedName>
    <definedName name="TextRefCopy20">[71]Summary!#REF!</definedName>
    <definedName name="TextRefCopy21">[71]Summary!#REF!</definedName>
    <definedName name="TextRefCopy22">[71]Summary!#REF!</definedName>
    <definedName name="TextRefCopy23">[71]Summary!#REF!</definedName>
    <definedName name="TextRefCopy24">[71]Summary!#REF!</definedName>
    <definedName name="TextRefCopy25">[71]Summary!#REF!</definedName>
    <definedName name="TextRefCopy29">[71]Summary!#REF!</definedName>
    <definedName name="TextRefCopy3">[71]Summary!#REF!</definedName>
    <definedName name="TextRefCopy30">[71]Summary!#REF!</definedName>
    <definedName name="TextRefCopy31">[71]Summary!#REF!</definedName>
    <definedName name="TextRefCopy36">'[72]EFG 1{100-532}'!$K$5</definedName>
    <definedName name="TextRefCopy39">'[73]EFG 2{100-972}'!$J$5</definedName>
    <definedName name="TextRefCopy4">[71]Summary!#REF!</definedName>
    <definedName name="TextRefCopy41" localSheetId="31">#REF!</definedName>
    <definedName name="TextRefCopy41" localSheetId="30">#REF!</definedName>
    <definedName name="TextRefCopy41" localSheetId="32">#REF!</definedName>
    <definedName name="TextRefCopy41">#REF!</definedName>
    <definedName name="TextRefCopy42" localSheetId="31">#REF!</definedName>
    <definedName name="TextRefCopy42" localSheetId="30">#REF!</definedName>
    <definedName name="TextRefCopy42" localSheetId="32">#REF!</definedName>
    <definedName name="TextRefCopy42">#REF!</definedName>
    <definedName name="TextRefCopy44">'[73]EFG 2{100-972}'!$K$5</definedName>
    <definedName name="TextRefCopy47" localSheetId="31">#REF!</definedName>
    <definedName name="TextRefCopy47" localSheetId="30">#REF!</definedName>
    <definedName name="TextRefCopy47" localSheetId="32">#REF!</definedName>
    <definedName name="TextRefCopy47">#REF!</definedName>
    <definedName name="TextRefCopy48" localSheetId="31">#REF!</definedName>
    <definedName name="TextRefCopy48" localSheetId="30">#REF!</definedName>
    <definedName name="TextRefCopy48" localSheetId="32">#REF!</definedName>
    <definedName name="TextRefCopy48">#REF!</definedName>
    <definedName name="TextRefCopy5" localSheetId="31">[71]Summary!#REF!</definedName>
    <definedName name="TextRefCopy5" localSheetId="30">[71]Summary!#REF!</definedName>
    <definedName name="TextRefCopy5" localSheetId="32">[71]Summary!#REF!</definedName>
    <definedName name="TextRefCopy5">[71]Summary!#REF!</definedName>
    <definedName name="TextRefCopy50" localSheetId="31">'[73]EFG 1{100-532}'!#REF!</definedName>
    <definedName name="TextRefCopy50" localSheetId="30">'[73]EFG 1{100-532}'!#REF!</definedName>
    <definedName name="TextRefCopy50" localSheetId="32">'[73]EFG 1{100-532}'!#REF!</definedName>
    <definedName name="TextRefCopy50">'[73]EFG 1{100-532}'!#REF!</definedName>
    <definedName name="TextRefCopy51" localSheetId="31">#REF!</definedName>
    <definedName name="TextRefCopy51" localSheetId="30">#REF!</definedName>
    <definedName name="TextRefCopy51" localSheetId="32">#REF!</definedName>
    <definedName name="TextRefCopy51">#REF!</definedName>
    <definedName name="TextRefCopy52" localSheetId="31">#REF!</definedName>
    <definedName name="TextRefCopy52" localSheetId="30">#REF!</definedName>
    <definedName name="TextRefCopy52" localSheetId="32">#REF!</definedName>
    <definedName name="TextRefCopy52">#REF!</definedName>
    <definedName name="TextRefCopy53" localSheetId="31">#REF!</definedName>
    <definedName name="TextRefCopy53" localSheetId="30">#REF!</definedName>
    <definedName name="TextRefCopy53" localSheetId="32">#REF!</definedName>
    <definedName name="TextRefCopy53">#REF!</definedName>
    <definedName name="TextRefCopy57">'[71]BulB{1099}'!$C$12</definedName>
    <definedName name="TextRefCopy58" localSheetId="31">#REF!</definedName>
    <definedName name="TextRefCopy58" localSheetId="30">#REF!</definedName>
    <definedName name="TextRefCopy58" localSheetId="32">#REF!</definedName>
    <definedName name="TextRefCopy58">#REF!</definedName>
    <definedName name="TextRefCopy59" localSheetId="31">#REF!</definedName>
    <definedName name="TextRefCopy59" localSheetId="30">#REF!</definedName>
    <definedName name="TextRefCopy59" localSheetId="32">#REF!</definedName>
    <definedName name="TextRefCopy59">#REF!</definedName>
    <definedName name="TextRefCopy6" localSheetId="31">[71]Summary!#REF!</definedName>
    <definedName name="TextRefCopy6" localSheetId="30">[71]Summary!#REF!</definedName>
    <definedName name="TextRefCopy6" localSheetId="32">[71]Summary!#REF!</definedName>
    <definedName name="TextRefCopy6">[71]Summary!#REF!</definedName>
    <definedName name="TextRefCopy60" localSheetId="31">#REF!</definedName>
    <definedName name="TextRefCopy60" localSheetId="30">#REF!</definedName>
    <definedName name="TextRefCopy60" localSheetId="32">#REF!</definedName>
    <definedName name="TextRefCopy60">#REF!</definedName>
    <definedName name="TextRefCopy61" localSheetId="31">#REF!</definedName>
    <definedName name="TextRefCopy61" localSheetId="30">#REF!</definedName>
    <definedName name="TextRefCopy61" localSheetId="32">#REF!</definedName>
    <definedName name="TextRefCopy61">#REF!</definedName>
    <definedName name="TextRefCopy62" localSheetId="31">#REF!</definedName>
    <definedName name="TextRefCopy62" localSheetId="30">#REF!</definedName>
    <definedName name="TextRefCopy62" localSheetId="32">#REF!</definedName>
    <definedName name="TextRefCopy62">#REF!</definedName>
    <definedName name="TextRefCopy63">#REF!</definedName>
    <definedName name="TextRefCopy65">'[72]EFG 2{100-972}'!$C$13</definedName>
    <definedName name="TextRefCopy66" localSheetId="31">#REF!</definedName>
    <definedName name="TextRefCopy66" localSheetId="30">#REF!</definedName>
    <definedName name="TextRefCopy66" localSheetId="32">#REF!</definedName>
    <definedName name="TextRefCopy66">#REF!</definedName>
    <definedName name="TextRefCopy67" localSheetId="31">#REF!</definedName>
    <definedName name="TextRefCopy67" localSheetId="30">#REF!</definedName>
    <definedName name="TextRefCopy67" localSheetId="32">#REF!</definedName>
    <definedName name="TextRefCopy67">#REF!</definedName>
    <definedName name="TextRefCopy7" localSheetId="31">[71]Summary!#REF!</definedName>
    <definedName name="TextRefCopy7" localSheetId="30">[71]Summary!#REF!</definedName>
    <definedName name="TextRefCopy7" localSheetId="32">[71]Summary!#REF!</definedName>
    <definedName name="TextRefCopy7">[71]Summary!#REF!</definedName>
    <definedName name="TextRefCopy71" localSheetId="31">#REF!</definedName>
    <definedName name="TextRefCopy71" localSheetId="30">#REF!</definedName>
    <definedName name="TextRefCopy71" localSheetId="32">#REF!</definedName>
    <definedName name="TextRefCopy71">#REF!</definedName>
    <definedName name="TextRefCopy72" localSheetId="31">#REF!</definedName>
    <definedName name="TextRefCopy72" localSheetId="30">#REF!</definedName>
    <definedName name="TextRefCopy72" localSheetId="32">#REF!</definedName>
    <definedName name="TextRefCopy72">#REF!</definedName>
    <definedName name="TextRefCopy73">'[74]Accrued interst'!$G$17</definedName>
    <definedName name="TextRefCopy74" localSheetId="31">#REF!</definedName>
    <definedName name="TextRefCopy74" localSheetId="30">#REF!</definedName>
    <definedName name="TextRefCopy74" localSheetId="32">#REF!</definedName>
    <definedName name="TextRefCopy74">#REF!</definedName>
    <definedName name="TextRefCopy75" localSheetId="31">#REF!</definedName>
    <definedName name="TextRefCopy75" localSheetId="30">#REF!</definedName>
    <definedName name="TextRefCopy75" localSheetId="32">#REF!</definedName>
    <definedName name="TextRefCopy75">#REF!</definedName>
    <definedName name="TextRefCopy76" localSheetId="31">[71]Summary!#REF!</definedName>
    <definedName name="TextRefCopy76" localSheetId="30">[71]Summary!#REF!</definedName>
    <definedName name="TextRefCopy76" localSheetId="32">[71]Summary!#REF!</definedName>
    <definedName name="TextRefCopy76">[71]Summary!#REF!</definedName>
    <definedName name="TextRefCopy77" localSheetId="31">[71]Summary!#REF!</definedName>
    <definedName name="TextRefCopy77" localSheetId="30">[71]Summary!#REF!</definedName>
    <definedName name="TextRefCopy77" localSheetId="32">[71]Summary!#REF!</definedName>
    <definedName name="TextRefCopy77">[71]Summary!#REF!</definedName>
    <definedName name="TextRefCopy78">[71]Summary!#REF!</definedName>
    <definedName name="TextRefCopy8">[71]Summary!#REF!</definedName>
    <definedName name="TextRefCopy80">[71]Summary!#REF!</definedName>
    <definedName name="TextRefCopy82">[71]Summary!$M$25</definedName>
    <definedName name="TextRefCopy83">[71]Summary!$M$35</definedName>
    <definedName name="TextRefCopy84" localSheetId="31">#REF!</definedName>
    <definedName name="TextRefCopy84" localSheetId="30">#REF!</definedName>
    <definedName name="TextRefCopy84" localSheetId="32">#REF!</definedName>
    <definedName name="TextRefCopy84">#REF!</definedName>
    <definedName name="TextRefCopy85" localSheetId="31">#REF!</definedName>
    <definedName name="TextRefCopy85" localSheetId="30">#REF!</definedName>
    <definedName name="TextRefCopy85" localSheetId="32">#REF!</definedName>
    <definedName name="TextRefCopy85">#REF!</definedName>
    <definedName name="TextRefCopy9" localSheetId="31">[71]Summary!#REF!</definedName>
    <definedName name="TextRefCopy9" localSheetId="30">[71]Summary!#REF!</definedName>
    <definedName name="TextRefCopy9" localSheetId="32">[71]Summary!#REF!</definedName>
    <definedName name="TextRefCopy9">[71]Summary!#REF!</definedName>
    <definedName name="TextRefCopy90" localSheetId="31">#REF!</definedName>
    <definedName name="TextRefCopy90" localSheetId="30">#REF!</definedName>
    <definedName name="TextRefCopy90" localSheetId="32">#REF!</definedName>
    <definedName name="TextRefCopy90">#REF!</definedName>
    <definedName name="TextRefCopy91" localSheetId="31">#REF!</definedName>
    <definedName name="TextRefCopy91" localSheetId="30">#REF!</definedName>
    <definedName name="TextRefCopy91" localSheetId="32">#REF!</definedName>
    <definedName name="TextRefCopy91">#REF!</definedName>
    <definedName name="TextRefCopy92" localSheetId="31">#REF!</definedName>
    <definedName name="TextRefCopy92" localSheetId="30">#REF!</definedName>
    <definedName name="TextRefCopy92" localSheetId="32">#REF!</definedName>
    <definedName name="TextRefCopy92">#REF!</definedName>
    <definedName name="TextRefCopy93">#REF!</definedName>
    <definedName name="TextRefCopy95">#REF!</definedName>
    <definedName name="TextRefCopy96">#REF!</definedName>
    <definedName name="TextRefCopy98">#REF!</definedName>
    <definedName name="TextRefCopy99">#REF!</definedName>
    <definedName name="TextRefCopyRangeCount" hidden="1">3</definedName>
    <definedName name="TextS">#REF!</definedName>
    <definedName name="TextT">#REF!</definedName>
    <definedName name="TextU">#REF!</definedName>
    <definedName name="TextV">#REF!</definedName>
    <definedName name="TextW">#REF!</definedName>
    <definedName name="TextX">#REF!</definedName>
    <definedName name="Threshold" localSheetId="31">#REF!</definedName>
    <definedName name="Threshold" localSheetId="42">#REF!</definedName>
    <definedName name="Threshold" localSheetId="30">#REF!</definedName>
    <definedName name="Threshold" localSheetId="32">#REF!</definedName>
    <definedName name="Threshold" localSheetId="43">#REF!</definedName>
    <definedName name="Threshold" localSheetId="5">#REF!</definedName>
    <definedName name="Threshold" localSheetId="26">#REF!</definedName>
    <definedName name="Threshold" localSheetId="9">#REF!</definedName>
    <definedName name="Threshold" localSheetId="19">#REF!</definedName>
    <definedName name="Threshold">#REF!</definedName>
    <definedName name="TmpDALS_GrandTotal">'[35]Related parties receivables'!#REF!</definedName>
    <definedName name="treza" localSheetId="31">'4.2 Domestic market stratif'!treza</definedName>
    <definedName name="treza" localSheetId="30">'4.2 Export market stratif '!treza</definedName>
    <definedName name="treza" localSheetId="32">'4.3 Domestic product strati'!treza</definedName>
    <definedName name="treza" localSheetId="7">#N/A</definedName>
    <definedName name="treza" localSheetId="20">'Q1''23 CONSO vs BP Q1''22'!treza</definedName>
    <definedName name="treza" localSheetId="21">'Q1''23 SNA vs BP Q1''22'!treza</definedName>
    <definedName name="treza" localSheetId="23">'Q1''23 SND vs BP Q1''22'!treza</definedName>
    <definedName name="treza" localSheetId="11">'YTD Q1''23 Cons. vs Q1''22'!treza</definedName>
    <definedName name="treza" localSheetId="13">'YTD Sep Cons. vs PY V2'!treza</definedName>
    <definedName name="treza" localSheetId="22">'YTD Sep SND vs PY'!treza</definedName>
    <definedName name="treza">[0]!treza</definedName>
    <definedName name="TRTRR" localSheetId="31" hidden="1">{"'Grafik Kontrol'!$A$1:$J$8"}</definedName>
    <definedName name="TRTRR" localSheetId="42" hidden="1">{"'Grafik Kontrol'!$A$1:$J$8"}</definedName>
    <definedName name="TRTRR" localSheetId="30" hidden="1">{"'Grafik Kontrol'!$A$1:$J$8"}</definedName>
    <definedName name="TRTRR" localSheetId="32" hidden="1">{"'Grafik Kontrol'!$A$1:$J$8"}</definedName>
    <definedName name="TRTRR" localSheetId="43" hidden="1">{"'Grafik Kontrol'!$A$1:$J$8"}</definedName>
    <definedName name="TRTRR" localSheetId="7" hidden="1">{"'Grafik Kontrol'!$A$1:$J$8"}</definedName>
    <definedName name="TRTRR" localSheetId="5" hidden="1">{"'Grafik Kontrol'!$A$1:$J$8"}</definedName>
    <definedName name="TRTRR" localSheetId="26" hidden="1">{"'Grafik Kontrol'!$A$1:$J$8"}</definedName>
    <definedName name="TRTRR" localSheetId="21" hidden="1">{"'Grafik Kontrol'!$A$1:$J$8"}</definedName>
    <definedName name="TRTRR" localSheetId="23" hidden="1">{"'Grafik Kontrol'!$A$1:$J$8"}</definedName>
    <definedName name="TRTRR" localSheetId="9" hidden="1">{"'Grafik Kontrol'!$A$1:$J$8"}</definedName>
    <definedName name="TRTRR" localSheetId="19" hidden="1">{"'Grafik Kontrol'!$A$1:$J$8"}</definedName>
    <definedName name="TRTRR" localSheetId="22" hidden="1">{"'Grafik Kontrol'!$A$1:$J$8"}</definedName>
    <definedName name="TRTRR" hidden="1">{"'Grafik Kontrol'!$A$1:$J$8"}</definedName>
    <definedName name="TTT" localSheetId="31" hidden="1">{"'Grafik Kontrol'!$A$1:$J$8"}</definedName>
    <definedName name="TTT" localSheetId="42" hidden="1">{"'Grafik Kontrol'!$A$1:$J$8"}</definedName>
    <definedName name="TTT" localSheetId="30" hidden="1">{"'Grafik Kontrol'!$A$1:$J$8"}</definedName>
    <definedName name="TTT" localSheetId="32" hidden="1">{"'Grafik Kontrol'!$A$1:$J$8"}</definedName>
    <definedName name="TTT" localSheetId="43" hidden="1">{"'Grafik Kontrol'!$A$1:$J$8"}</definedName>
    <definedName name="TTT" localSheetId="7" hidden="1">{"'Grafik Kontrol'!$A$1:$J$8"}</definedName>
    <definedName name="TTT" localSheetId="5" hidden="1">{"'Grafik Kontrol'!$A$1:$J$8"}</definedName>
    <definedName name="TTT" localSheetId="26" hidden="1">{"'Grafik Kontrol'!$A$1:$J$8"}</definedName>
    <definedName name="TTT" localSheetId="21" hidden="1">{"'Grafik Kontrol'!$A$1:$J$8"}</definedName>
    <definedName name="TTT" localSheetId="23" hidden="1">{"'Grafik Kontrol'!$A$1:$J$8"}</definedName>
    <definedName name="TTT" localSheetId="9" hidden="1">{"'Grafik Kontrol'!$A$1:$J$8"}</definedName>
    <definedName name="TTT" localSheetId="19" hidden="1">{"'Grafik Kontrol'!$A$1:$J$8"}</definedName>
    <definedName name="TTT" localSheetId="22" hidden="1">{"'Grafik Kontrol'!$A$1:$J$8"}</definedName>
    <definedName name="TTT" hidden="1">{"'Grafik Kontrol'!$A$1:$J$8"}</definedName>
    <definedName name="tw">'[75]4. Detail Testing'!$E$14</definedName>
    <definedName name="TypeEcriture" localSheetId="31">#REF!</definedName>
    <definedName name="TypeEcriture" localSheetId="30">#REF!</definedName>
    <definedName name="TypeEcriture" localSheetId="32">#REF!</definedName>
    <definedName name="TypeEcriture" localSheetId="20">#REF!</definedName>
    <definedName name="TypeEcriture" localSheetId="21">#REF!</definedName>
    <definedName name="TypeEcriture" localSheetId="23">#REF!</definedName>
    <definedName name="TypeEcriture" localSheetId="11">#REF!</definedName>
    <definedName name="TypeEcriture" localSheetId="10">#REF!</definedName>
    <definedName name="TypeEcriture" localSheetId="13">#REF!</definedName>
    <definedName name="TypeEcriture" localSheetId="22">#REF!</definedName>
    <definedName name="TypeEcriture">#REF!</definedName>
    <definedName name="U" localSheetId="31" hidden="1">{"'Grafik Kontrol'!$A$1:$J$8"}</definedName>
    <definedName name="U" localSheetId="42" hidden="1">{"'Grafik Kontrol'!$A$1:$J$8"}</definedName>
    <definedName name="U" localSheetId="30" hidden="1">{"'Grafik Kontrol'!$A$1:$J$8"}</definedName>
    <definedName name="U" localSheetId="32" hidden="1">{"'Grafik Kontrol'!$A$1:$J$8"}</definedName>
    <definedName name="U" localSheetId="43" hidden="1">{"'Grafik Kontrol'!$A$1:$J$8"}</definedName>
    <definedName name="U" localSheetId="7" hidden="1">{"'Grafik Kontrol'!$A$1:$J$8"}</definedName>
    <definedName name="U" localSheetId="5" hidden="1">{"'Grafik Kontrol'!$A$1:$J$8"}</definedName>
    <definedName name="U" localSheetId="26" hidden="1">{"'Grafik Kontrol'!$A$1:$J$8"}</definedName>
    <definedName name="U" localSheetId="21" hidden="1">{"'Grafik Kontrol'!$A$1:$J$8"}</definedName>
    <definedName name="U" localSheetId="23" hidden="1">{"'Grafik Kontrol'!$A$1:$J$8"}</definedName>
    <definedName name="U" localSheetId="9" hidden="1">{"'Grafik Kontrol'!$A$1:$J$8"}</definedName>
    <definedName name="U" localSheetId="19" hidden="1">{"'Grafik Kontrol'!$A$1:$J$8"}</definedName>
    <definedName name="U" localSheetId="22" hidden="1">{"'Grafik Kontrol'!$A$1:$J$8"}</definedName>
    <definedName name="U" hidden="1">{"'Grafik Kontrol'!$A$1:$J$8"}</definedName>
    <definedName name="USD" localSheetId="31">#REF!</definedName>
    <definedName name="USD" localSheetId="42">#REF!</definedName>
    <definedName name="USD" localSheetId="30">#REF!</definedName>
    <definedName name="USD" localSheetId="32">#REF!</definedName>
    <definedName name="USD" localSheetId="43">#REF!</definedName>
    <definedName name="USD" localSheetId="5">#REF!</definedName>
    <definedName name="USD" localSheetId="26">#REF!</definedName>
    <definedName name="USD" localSheetId="9">#REF!</definedName>
    <definedName name="USD" localSheetId="19">#REF!</definedName>
    <definedName name="USD">#REF!</definedName>
    <definedName name="UYUY" localSheetId="31" hidden="1">{"'Grafik Kontrol'!$A$1:$J$8"}</definedName>
    <definedName name="UYUY" localSheetId="42" hidden="1">{"'Grafik Kontrol'!$A$1:$J$8"}</definedName>
    <definedName name="UYUY" localSheetId="30" hidden="1">{"'Grafik Kontrol'!$A$1:$J$8"}</definedName>
    <definedName name="UYUY" localSheetId="32" hidden="1">{"'Grafik Kontrol'!$A$1:$J$8"}</definedName>
    <definedName name="UYUY" localSheetId="43" hidden="1">{"'Grafik Kontrol'!$A$1:$J$8"}</definedName>
    <definedName name="UYUY" localSheetId="7" hidden="1">{"'Grafik Kontrol'!$A$1:$J$8"}</definedName>
    <definedName name="UYUY" localSheetId="5" hidden="1">{"'Grafik Kontrol'!$A$1:$J$8"}</definedName>
    <definedName name="UYUY" localSheetId="26" hidden="1">{"'Grafik Kontrol'!$A$1:$J$8"}</definedName>
    <definedName name="UYUY" localSheetId="21" hidden="1">{"'Grafik Kontrol'!$A$1:$J$8"}</definedName>
    <definedName name="UYUY" localSheetId="23" hidden="1">{"'Grafik Kontrol'!$A$1:$J$8"}</definedName>
    <definedName name="UYUY" localSheetId="9" hidden="1">{"'Grafik Kontrol'!$A$1:$J$8"}</definedName>
    <definedName name="UYUY" localSheetId="19" hidden="1">{"'Grafik Kontrol'!$A$1:$J$8"}</definedName>
    <definedName name="UYUY" localSheetId="22" hidden="1">{"'Grafik Kontrol'!$A$1:$J$8"}</definedName>
    <definedName name="UYUY" hidden="1">{"'Grafik Kontrol'!$A$1:$J$8"}</definedName>
    <definedName name="Valore_prestito">'[45]Bank Loan existing '!#REF!</definedName>
    <definedName name="Valore_prestito__I">'[46]Piano ammort. all''Italiana'!$B$4</definedName>
    <definedName name="values" localSheetId="31">#REF!,#REF!,#REF!</definedName>
    <definedName name="values" localSheetId="30">#REF!,#REF!,#REF!</definedName>
    <definedName name="values" localSheetId="32">#REF!,#REF!,#REF!</definedName>
    <definedName name="values">#REF!,#REF!,#REF!</definedName>
    <definedName name="Veninote" localSheetId="31">[17]Plrap!#REF!</definedName>
    <definedName name="Veninote" localSheetId="42">[17]Plrap!#REF!</definedName>
    <definedName name="Veninote" localSheetId="30">[17]Plrap!#REF!</definedName>
    <definedName name="Veninote" localSheetId="32">[17]Plrap!#REF!</definedName>
    <definedName name="Veninote" localSheetId="43">[17]Plrap!#REF!</definedName>
    <definedName name="Veninote" localSheetId="5">[17]Plrap!#REF!</definedName>
    <definedName name="Veninote" localSheetId="26">[28]Plrap!#REF!</definedName>
    <definedName name="Veninote" localSheetId="9">[17]Plrap!#REF!</definedName>
    <definedName name="Veninote" localSheetId="19">[17]Plrap!#REF!</definedName>
    <definedName name="Veninote">[17]Plrap!#REF!</definedName>
    <definedName name="Visualiser" localSheetId="31">'4.2 Domestic market stratif'!Visualiser</definedName>
    <definedName name="Visualiser" localSheetId="30">'4.2 Export market stratif '!Visualiser</definedName>
    <definedName name="Visualiser" localSheetId="32">'4.3 Domestic product strati'!Visualiser</definedName>
    <definedName name="Visualiser" localSheetId="7">#N/A</definedName>
    <definedName name="Visualiser" localSheetId="20">'Q1''23 CONSO vs BP Q1''22'!Visualiser</definedName>
    <definedName name="Visualiser" localSheetId="21">'Q1''23 SNA vs BP Q1''22'!Visualiser</definedName>
    <definedName name="Visualiser" localSheetId="23">'Q1''23 SND vs BP Q1''22'!Visualiser</definedName>
    <definedName name="Visualiser" localSheetId="11">'YTD Q1''23 Cons. vs Q1''22'!Visualiser</definedName>
    <definedName name="Visualiser" localSheetId="13">'YTD Sep Cons. vs PY V2'!Visualiser</definedName>
    <definedName name="Visualiser" localSheetId="22">'YTD Sep SND vs PY'!Visualiser</definedName>
    <definedName name="Visualiser">[0]!Visualiser</definedName>
    <definedName name="WE" localSheetId="31" hidden="1">{"'Grafik Kontrol'!$A$1:$J$8"}</definedName>
    <definedName name="WE" localSheetId="42" hidden="1">{"'Grafik Kontrol'!$A$1:$J$8"}</definedName>
    <definedName name="WE" localSheetId="30" hidden="1">{"'Grafik Kontrol'!$A$1:$J$8"}</definedName>
    <definedName name="WE" localSheetId="32" hidden="1">{"'Grafik Kontrol'!$A$1:$J$8"}</definedName>
    <definedName name="WE" localSheetId="43" hidden="1">{"'Grafik Kontrol'!$A$1:$J$8"}</definedName>
    <definedName name="WE" localSheetId="7" hidden="1">{"'Grafik Kontrol'!$A$1:$J$8"}</definedName>
    <definedName name="WE" localSheetId="5" hidden="1">{"'Grafik Kontrol'!$A$1:$J$8"}</definedName>
    <definedName name="WE" localSheetId="26" hidden="1">{"'Grafik Kontrol'!$A$1:$J$8"}</definedName>
    <definedName name="WE" localSheetId="21" hidden="1">{"'Grafik Kontrol'!$A$1:$J$8"}</definedName>
    <definedName name="WE" localSheetId="23" hidden="1">{"'Grafik Kontrol'!$A$1:$J$8"}</definedName>
    <definedName name="WE" localSheetId="9" hidden="1">{"'Grafik Kontrol'!$A$1:$J$8"}</definedName>
    <definedName name="WE" localSheetId="19" hidden="1">{"'Grafik Kontrol'!$A$1:$J$8"}</definedName>
    <definedName name="WE" localSheetId="22" hidden="1">{"'Grafik Kontrol'!$A$1:$J$8"}</definedName>
    <definedName name="WE" hidden="1">{"'Grafik Kontrol'!$A$1:$J$8"}</definedName>
    <definedName name="wrn.Aging._.and._.Trend._.Analysis." localSheetId="31" hidden="1">{#N/A,#N/A,FALSE,"Aging Summary";#N/A,#N/A,FALSE,"Ratio Analysis";#N/A,#N/A,FALSE,"Test 120 Day Accts";#N/A,#N/A,FALSE,"Tickmarks"}</definedName>
    <definedName name="wrn.Aging._.and._.Trend._.Analysis." localSheetId="30" hidden="1">{#N/A,#N/A,FALSE,"Aging Summary";#N/A,#N/A,FALSE,"Ratio Analysis";#N/A,#N/A,FALSE,"Test 120 Day Accts";#N/A,#N/A,FALSE,"Tickmarks"}</definedName>
    <definedName name="wrn.Aging._.and._.Trend._.Analysis." localSheetId="32" hidden="1">{#N/A,#N/A,FALSE,"Aging Summary";#N/A,#N/A,FALSE,"Ratio Analysis";#N/A,#N/A,FALSE,"Test 120 Day Accts";#N/A,#N/A,FALSE,"Tickmarks"}</definedName>
    <definedName name="wrn.Aging._.and._.Trend._.Analysis." localSheetId="7" hidden="1">{#N/A,#N/A,FALSE,"Aging Summary";#N/A,#N/A,FALSE,"Ratio Analysis";#N/A,#N/A,FALSE,"Test 120 Day Accts";#N/A,#N/A,FALSE,"Tickmarks"}</definedName>
    <definedName name="wrn.Aging._.and._.Trend._.Analysis." localSheetId="21" hidden="1">{#N/A,#N/A,FALSE,"Aging Summary";#N/A,#N/A,FALSE,"Ratio Analysis";#N/A,#N/A,FALSE,"Test 120 Day Accts";#N/A,#N/A,FALSE,"Tickmarks"}</definedName>
    <definedName name="wrn.Aging._.and._.Trend._.Analysis." localSheetId="23" hidden="1">{#N/A,#N/A,FALSE,"Aging Summary";#N/A,#N/A,FALSE,"Ratio Analysis";#N/A,#N/A,FALSE,"Test 120 Day Accts";#N/A,#N/A,FALSE,"Tickmarks"}</definedName>
    <definedName name="wrn.Aging._.and._.Trend._.Analysis." localSheetId="22" hidden="1">{#N/A,#N/A,FALSE,"Aging Summary";#N/A,#N/A,FALSE,"Ratio Analysis";#N/A,#N/A,FALSE,"Test 120 Day Accts";#N/A,#N/A,FALSE,"Tickmarks"}</definedName>
    <definedName name="wrn.Aging._.and._.Trend._.Analysis." hidden="1">{#N/A,#N/A,FALSE,"Aging Summary";#N/A,#N/A,FALSE,"Ratio Analysis";#N/A,#N/A,FALSE,"Test 120 Day Accts";#N/A,#N/A,FALSE,"Tickmarks"}</definedName>
    <definedName name="wrn.Etafi." localSheetId="31" hidden="1">{#N/A,#N/A,FALSE,"SIG";#N/A,#N/A,FALSE,"Graphe_SIG";#N/A,#N/A,FALSE,"CAF";#N/A,#N/A,FALSE,"VA";#N/A,#N/A,FALSE,"Autofinancement";#N/A,#N/A,FALSE,"BILAN";#N/A,#N/A,FALSE,"FR";#N/A,#N/A,FALSE,"Exploitation";#N/A,#N/A,FALSE,"Rentabilité";#N/A,#N/A,FALSE,"Profit";#N/A,#N/A,FALSE,"Financier";#N/A,#N/A,FALSE,"Trésorerie"}</definedName>
    <definedName name="wrn.Etafi." localSheetId="30" hidden="1">{#N/A,#N/A,FALSE,"SIG";#N/A,#N/A,FALSE,"Graphe_SIG";#N/A,#N/A,FALSE,"CAF";#N/A,#N/A,FALSE,"VA";#N/A,#N/A,FALSE,"Autofinancement";#N/A,#N/A,FALSE,"BILAN";#N/A,#N/A,FALSE,"FR";#N/A,#N/A,FALSE,"Exploitation";#N/A,#N/A,FALSE,"Rentabilité";#N/A,#N/A,FALSE,"Profit";#N/A,#N/A,FALSE,"Financier";#N/A,#N/A,FALSE,"Trésorerie"}</definedName>
    <definedName name="wrn.Etafi." localSheetId="32" hidden="1">{#N/A,#N/A,FALSE,"SIG";#N/A,#N/A,FALSE,"Graphe_SIG";#N/A,#N/A,FALSE,"CAF";#N/A,#N/A,FALSE,"VA";#N/A,#N/A,FALSE,"Autofinancement";#N/A,#N/A,FALSE,"BILAN";#N/A,#N/A,FALSE,"FR";#N/A,#N/A,FALSE,"Exploitation";#N/A,#N/A,FALSE,"Rentabilité";#N/A,#N/A,FALSE,"Profit";#N/A,#N/A,FALSE,"Financier";#N/A,#N/A,FALSE,"Trésorerie"}</definedName>
    <definedName name="wrn.Etafi." localSheetId="7" hidden="1">{#N/A,#N/A,FALSE,"SIG";#N/A,#N/A,FALSE,"Graphe_SIG";#N/A,#N/A,FALSE,"CAF";#N/A,#N/A,FALSE,"VA";#N/A,#N/A,FALSE,"Autofinancement";#N/A,#N/A,FALSE,"BILAN";#N/A,#N/A,FALSE,"FR";#N/A,#N/A,FALSE,"Exploitation";#N/A,#N/A,FALSE,"Rentabilité";#N/A,#N/A,FALSE,"Profit";#N/A,#N/A,FALSE,"Financier";#N/A,#N/A,FALSE,"Trésorerie"}</definedName>
    <definedName name="wrn.Etafi." localSheetId="20" hidden="1">{#N/A,#N/A,FALSE,"SIG";#N/A,#N/A,FALSE,"Graphe_SIG";#N/A,#N/A,FALSE,"CAF";#N/A,#N/A,FALSE,"VA";#N/A,#N/A,FALSE,"Autofinancement";#N/A,#N/A,FALSE,"BILAN";#N/A,#N/A,FALSE,"FR";#N/A,#N/A,FALSE,"Exploitation";#N/A,#N/A,FALSE,"Rentabilité";#N/A,#N/A,FALSE,"Profit";#N/A,#N/A,FALSE,"Financier";#N/A,#N/A,FALSE,"Trésorerie"}</definedName>
    <definedName name="wrn.Etafi." localSheetId="21" hidden="1">{#N/A,#N/A,FALSE,"SIG";#N/A,#N/A,FALSE,"Graphe_SIG";#N/A,#N/A,FALSE,"CAF";#N/A,#N/A,FALSE,"VA";#N/A,#N/A,FALSE,"Autofinancement";#N/A,#N/A,FALSE,"BILAN";#N/A,#N/A,FALSE,"FR";#N/A,#N/A,FALSE,"Exploitation";#N/A,#N/A,FALSE,"Rentabilité";#N/A,#N/A,FALSE,"Profit";#N/A,#N/A,FALSE,"Financier";#N/A,#N/A,FALSE,"Trésorerie"}</definedName>
    <definedName name="wrn.Etafi." localSheetId="23" hidden="1">{#N/A,#N/A,FALSE,"SIG";#N/A,#N/A,FALSE,"Graphe_SIG";#N/A,#N/A,FALSE,"CAF";#N/A,#N/A,FALSE,"VA";#N/A,#N/A,FALSE,"Autofinancement";#N/A,#N/A,FALSE,"BILAN";#N/A,#N/A,FALSE,"FR";#N/A,#N/A,FALSE,"Exploitation";#N/A,#N/A,FALSE,"Rentabilité";#N/A,#N/A,FALSE,"Profit";#N/A,#N/A,FALSE,"Financier";#N/A,#N/A,FALSE,"Trésorerie"}</definedName>
    <definedName name="wrn.Etafi." localSheetId="11" hidden="1">{#N/A,#N/A,FALSE,"SIG";#N/A,#N/A,FALSE,"Graphe_SIG";#N/A,#N/A,FALSE,"CAF";#N/A,#N/A,FALSE,"VA";#N/A,#N/A,FALSE,"Autofinancement";#N/A,#N/A,FALSE,"BILAN";#N/A,#N/A,FALSE,"FR";#N/A,#N/A,FALSE,"Exploitation";#N/A,#N/A,FALSE,"Rentabilité";#N/A,#N/A,FALSE,"Profit";#N/A,#N/A,FALSE,"Financier";#N/A,#N/A,FALSE,"Trésorerie"}</definedName>
    <definedName name="wrn.Etafi." localSheetId="13" hidden="1">{#N/A,#N/A,FALSE,"SIG";#N/A,#N/A,FALSE,"Graphe_SIG";#N/A,#N/A,FALSE,"CAF";#N/A,#N/A,FALSE,"VA";#N/A,#N/A,FALSE,"Autofinancement";#N/A,#N/A,FALSE,"BILAN";#N/A,#N/A,FALSE,"FR";#N/A,#N/A,FALSE,"Exploitation";#N/A,#N/A,FALSE,"Rentabilité";#N/A,#N/A,FALSE,"Profit";#N/A,#N/A,FALSE,"Financier";#N/A,#N/A,FALSE,"Trésorerie"}</definedName>
    <definedName name="wrn.Etafi." localSheetId="22" hidden="1">{#N/A,#N/A,FALSE,"SIG";#N/A,#N/A,FALSE,"Graphe_SIG";#N/A,#N/A,FALSE,"CAF";#N/A,#N/A,FALSE,"VA";#N/A,#N/A,FALSE,"Autofinancement";#N/A,#N/A,FALSE,"BILAN";#N/A,#N/A,FALSE,"FR";#N/A,#N/A,FALSE,"Exploitation";#N/A,#N/A,FALSE,"Rentabilité";#N/A,#N/A,FALSE,"Profit";#N/A,#N/A,FALSE,"Financier";#N/A,#N/A,FALSE,"Trésorerie"}</definedName>
    <definedName name="wrn.Etafi." hidden="1">{#N/A,#N/A,FALSE,"SIG";#N/A,#N/A,FALSE,"Graphe_SIG";#N/A,#N/A,FALSE,"CAF";#N/A,#N/A,FALSE,"VA";#N/A,#N/A,FALSE,"Autofinancement";#N/A,#N/A,FALSE,"BILAN";#N/A,#N/A,FALSE,"FR";#N/A,#N/A,FALSE,"Exploitation";#N/A,#N/A,FALSE,"Rentabilité";#N/A,#N/A,FALSE,"Profit";#N/A,#N/A,FALSE,"Financier";#N/A,#N/A,FALSE,"Trésorerie"}</definedName>
    <definedName name="wrn.new" localSheetId="31">{#N/A,#N/A,FALSE,"Aging Summary";#N/A,#N/A,FALSE,"Ratio Analysis";#N/A,#N/A,FALSE,"Test 120 Day Accts";#N/A,#N/A,FALSE,"Tickmarks"}</definedName>
    <definedName name="wrn.new" localSheetId="30">{#N/A,#N/A,FALSE,"Aging Summary";#N/A,#N/A,FALSE,"Ratio Analysis";#N/A,#N/A,FALSE,"Test 120 Day Accts";#N/A,#N/A,FALSE,"Tickmarks"}</definedName>
    <definedName name="wrn.new" localSheetId="32">{#N/A,#N/A,FALSE,"Aging Summary";#N/A,#N/A,FALSE,"Ratio Analysis";#N/A,#N/A,FALSE,"Test 120 Day Accts";#N/A,#N/A,FALSE,"Tickmarks"}</definedName>
    <definedName name="wrn.new" localSheetId="7">{#N/A,#N/A,FALSE,"Aging Summary";#N/A,#N/A,FALSE,"Ratio Analysis";#N/A,#N/A,FALSE,"Test 120 Day Accts";#N/A,#N/A,FALSE,"Tickmarks"}</definedName>
    <definedName name="wrn.new" localSheetId="21">{#N/A,#N/A,FALSE,"Aging Summary";#N/A,#N/A,FALSE,"Ratio Analysis";#N/A,#N/A,FALSE,"Test 120 Day Accts";#N/A,#N/A,FALSE,"Tickmarks"}</definedName>
    <definedName name="wrn.new" localSheetId="23">{#N/A,#N/A,FALSE,"Aging Summary";#N/A,#N/A,FALSE,"Ratio Analysis";#N/A,#N/A,FALSE,"Test 120 Day Accts";#N/A,#N/A,FALSE,"Tickmarks"}</definedName>
    <definedName name="wrn.new" localSheetId="22">{#N/A,#N/A,FALSE,"Aging Summary";#N/A,#N/A,FALSE,"Ratio Analysis";#N/A,#N/A,FALSE,"Test 120 Day Accts";#N/A,#N/A,FALSE,"Tickmarks"}</definedName>
    <definedName name="wrn.new">{#N/A,#N/A,FALSE,"Aging Summary";#N/A,#N/A,FALSE,"Ratio Analysis";#N/A,#N/A,FALSE,"Test 120 Day Accts";#N/A,#N/A,FALSE,"Tickmarks"}</definedName>
    <definedName name="wrn.Print._.All._.A4." localSheetId="31" hidden="1">{"Valuation",#N/A,TRUE,"Valuation Summary";"Financial Statements",#N/A,TRUE,"Results";"Results",#N/A,TRUE,"Results";"Ratios",#N/A,TRUE,"Results";"Historical data",#N/A,TRUE,"Historical Data";"Forecast inputs",#N/A,TRUE,"Forecast Drivers"}</definedName>
    <definedName name="wrn.Print._.All._.A4." localSheetId="42" hidden="1">{"Valuation",#N/A,TRUE,"Valuation Summary";"Financial Statements",#N/A,TRUE,"Results";"Results",#N/A,TRUE,"Results";"Ratios",#N/A,TRUE,"Results";"Historical data",#N/A,TRUE,"Historical Data";"Forecast inputs",#N/A,TRUE,"Forecast Drivers"}</definedName>
    <definedName name="wrn.Print._.All._.A4." localSheetId="30" hidden="1">{"Valuation",#N/A,TRUE,"Valuation Summary";"Financial Statements",#N/A,TRUE,"Results";"Results",#N/A,TRUE,"Results";"Ratios",#N/A,TRUE,"Results";"Historical data",#N/A,TRUE,"Historical Data";"Forecast inputs",#N/A,TRUE,"Forecast Drivers"}</definedName>
    <definedName name="wrn.Print._.All._.A4." localSheetId="32" hidden="1">{"Valuation",#N/A,TRUE,"Valuation Summary";"Financial Statements",#N/A,TRUE,"Results";"Results",#N/A,TRUE,"Results";"Ratios",#N/A,TRUE,"Results";"Historical data",#N/A,TRUE,"Historical Data";"Forecast inputs",#N/A,TRUE,"Forecast Drivers"}</definedName>
    <definedName name="wrn.Print._.All._.A4." localSheetId="43" hidden="1">{"Valuation",#N/A,TRUE,"Valuation Summary";"Financial Statements",#N/A,TRUE,"Results";"Results",#N/A,TRUE,"Results";"Ratios",#N/A,TRUE,"Results";"Historical data",#N/A,TRUE,"Historical Data";"Forecast inputs",#N/A,TRUE,"Forecast Drivers"}</definedName>
    <definedName name="wrn.Print._.All._.A4." localSheetId="7" hidden="1">{"Valuation",#N/A,TRUE,"Valuation Summary";"Financial Statements",#N/A,TRUE,"Results";"Results",#N/A,TRUE,"Results";"Ratios",#N/A,TRUE,"Results";"Historical data",#N/A,TRUE,"Historical Data";"Forecast inputs",#N/A,TRUE,"Forecast Drivers"}</definedName>
    <definedName name="wrn.Print._.All._.A4." localSheetId="5" hidden="1">{"Valuation",#N/A,TRUE,"Valuation Summary";"Financial Statements",#N/A,TRUE,"Results";"Results",#N/A,TRUE,"Results";"Ratios",#N/A,TRUE,"Results";"Historical data",#N/A,TRUE,"Historical Data";"Forecast inputs",#N/A,TRUE,"Forecast Drivers"}</definedName>
    <definedName name="wrn.Print._.All._.A4." localSheetId="26" hidden="1">{"Valuation",#N/A,TRUE,"Valuation Summary";"Financial Statements",#N/A,TRUE,"Results";"Results",#N/A,TRUE,"Results";"Ratios",#N/A,TRUE,"Results";"Historical data",#N/A,TRUE,"Historical Data";"Forecast inputs",#N/A,TRUE,"Forecast Drivers"}</definedName>
    <definedName name="wrn.Print._.All._.A4." localSheetId="21" hidden="1">{"Valuation",#N/A,TRUE,"Valuation Summary";"Financial Statements",#N/A,TRUE,"Results";"Results",#N/A,TRUE,"Results";"Ratios",#N/A,TRUE,"Results";"Historical data",#N/A,TRUE,"Historical Data";"Forecast inputs",#N/A,TRUE,"Forecast Drivers"}</definedName>
    <definedName name="wrn.Print._.All._.A4." localSheetId="23" hidden="1">{"Valuation",#N/A,TRUE,"Valuation Summary";"Financial Statements",#N/A,TRUE,"Results";"Results",#N/A,TRUE,"Results";"Ratios",#N/A,TRUE,"Results";"Historical data",#N/A,TRUE,"Historical Data";"Forecast inputs",#N/A,TRUE,"Forecast Drivers"}</definedName>
    <definedName name="wrn.Print._.All._.A4." localSheetId="9" hidden="1">{"Valuation",#N/A,TRUE,"Valuation Summary";"Financial Statements",#N/A,TRUE,"Results";"Results",#N/A,TRUE,"Results";"Ratios",#N/A,TRUE,"Results";"Historical data",#N/A,TRUE,"Historical Data";"Forecast inputs",#N/A,TRUE,"Forecast Drivers"}</definedName>
    <definedName name="wrn.Print._.All._.A4." localSheetId="19" hidden="1">{"Valuation",#N/A,TRUE,"Valuation Summary";"Financial Statements",#N/A,TRUE,"Results";"Results",#N/A,TRUE,"Results";"Ratios",#N/A,TRUE,"Results";"Historical data",#N/A,TRUE,"Historical Data";"Forecast inputs",#N/A,TRUE,"Forecast Drivers"}</definedName>
    <definedName name="wrn.Print._.All._.A4." localSheetId="22" hidden="1">{"Valuation",#N/A,TRUE,"Valuation Summary";"Financial Statements",#N/A,TRUE,"Results";"Results",#N/A,TRUE,"Results";"Ratios",#N/A,TRUE,"Results";"Historical data",#N/A,TRUE,"Historical Data";"Forecast inputs",#N/A,TRUE,"Forecast Drivers"}</definedName>
    <definedName name="wrn.Print._.All._.A4." hidden="1">{"Valuation",#N/A,TRUE,"Valuation Summary";"Financial Statements",#N/A,TRUE,"Results";"Results",#N/A,TRUE,"Results";"Ratios",#N/A,TRUE,"Results";"Historical data",#N/A,TRUE,"Historical Data";"Forecast inputs",#N/A,TRUE,"Forecast Drivers"}</definedName>
    <definedName name="wrn.Print._.All._.Letter." localSheetId="31" hidden="1">{"Valuation Letter",#N/A,TRUE,"Valuation Summary";"Financial Statements Letter",#N/A,TRUE,"Results";"Results Letter",#N/A,TRUE,"Results";"Ratios Letter",#N/A,TRUE,"Results";"Historical data Letter",#N/A,TRUE,"Historical Data";"Forecast inputs Letter",#N/A,TRUE,"Forecast Drivers"}</definedName>
    <definedName name="wrn.Print._.All._.Letter." localSheetId="42" hidden="1">{"Valuation Letter",#N/A,TRUE,"Valuation Summary";"Financial Statements Letter",#N/A,TRUE,"Results";"Results Letter",#N/A,TRUE,"Results";"Ratios Letter",#N/A,TRUE,"Results";"Historical data Letter",#N/A,TRUE,"Historical Data";"Forecast inputs Letter",#N/A,TRUE,"Forecast Drivers"}</definedName>
    <definedName name="wrn.Print._.All._.Letter." localSheetId="30" hidden="1">{"Valuation Letter",#N/A,TRUE,"Valuation Summary";"Financial Statements Letter",#N/A,TRUE,"Results";"Results Letter",#N/A,TRUE,"Results";"Ratios Letter",#N/A,TRUE,"Results";"Historical data Letter",#N/A,TRUE,"Historical Data";"Forecast inputs Letter",#N/A,TRUE,"Forecast Drivers"}</definedName>
    <definedName name="wrn.Print._.All._.Letter." localSheetId="32" hidden="1">{"Valuation Letter",#N/A,TRUE,"Valuation Summary";"Financial Statements Letter",#N/A,TRUE,"Results";"Results Letter",#N/A,TRUE,"Results";"Ratios Letter",#N/A,TRUE,"Results";"Historical data Letter",#N/A,TRUE,"Historical Data";"Forecast inputs Letter",#N/A,TRUE,"Forecast Drivers"}</definedName>
    <definedName name="wrn.Print._.All._.Letter." localSheetId="43" hidden="1">{"Valuation Letter",#N/A,TRUE,"Valuation Summary";"Financial Statements Letter",#N/A,TRUE,"Results";"Results Letter",#N/A,TRUE,"Results";"Ratios Letter",#N/A,TRUE,"Results";"Historical data Letter",#N/A,TRUE,"Historical Data";"Forecast inputs Letter",#N/A,TRUE,"Forecast Drivers"}</definedName>
    <definedName name="wrn.Print._.All._.Letter." localSheetId="7" hidden="1">{"Valuation Letter",#N/A,TRUE,"Valuation Summary";"Financial Statements Letter",#N/A,TRUE,"Results";"Results Letter",#N/A,TRUE,"Results";"Ratios Letter",#N/A,TRUE,"Results";"Historical data Letter",#N/A,TRUE,"Historical Data";"Forecast inputs Letter",#N/A,TRUE,"Forecast Drivers"}</definedName>
    <definedName name="wrn.Print._.All._.Letter." localSheetId="5" hidden="1">{"Valuation Letter",#N/A,TRUE,"Valuation Summary";"Financial Statements Letter",#N/A,TRUE,"Results";"Results Letter",#N/A,TRUE,"Results";"Ratios Letter",#N/A,TRUE,"Results";"Historical data Letter",#N/A,TRUE,"Historical Data";"Forecast inputs Letter",#N/A,TRUE,"Forecast Drivers"}</definedName>
    <definedName name="wrn.Print._.All._.Letter." localSheetId="26" hidden="1">{"Valuation Letter",#N/A,TRUE,"Valuation Summary";"Financial Statements Letter",#N/A,TRUE,"Results";"Results Letter",#N/A,TRUE,"Results";"Ratios Letter",#N/A,TRUE,"Results";"Historical data Letter",#N/A,TRUE,"Historical Data";"Forecast inputs Letter",#N/A,TRUE,"Forecast Drivers"}</definedName>
    <definedName name="wrn.Print._.All._.Letter." localSheetId="21" hidden="1">{"Valuation Letter",#N/A,TRUE,"Valuation Summary";"Financial Statements Letter",#N/A,TRUE,"Results";"Results Letter",#N/A,TRUE,"Results";"Ratios Letter",#N/A,TRUE,"Results";"Historical data Letter",#N/A,TRUE,"Historical Data";"Forecast inputs Letter",#N/A,TRUE,"Forecast Drivers"}</definedName>
    <definedName name="wrn.Print._.All._.Letter." localSheetId="23" hidden="1">{"Valuation Letter",#N/A,TRUE,"Valuation Summary";"Financial Statements Letter",#N/A,TRUE,"Results";"Results Letter",#N/A,TRUE,"Results";"Ratios Letter",#N/A,TRUE,"Results";"Historical data Letter",#N/A,TRUE,"Historical Data";"Forecast inputs Letter",#N/A,TRUE,"Forecast Drivers"}</definedName>
    <definedName name="wrn.Print._.All._.Letter." localSheetId="9" hidden="1">{"Valuation Letter",#N/A,TRUE,"Valuation Summary";"Financial Statements Letter",#N/A,TRUE,"Results";"Results Letter",#N/A,TRUE,"Results";"Ratios Letter",#N/A,TRUE,"Results";"Historical data Letter",#N/A,TRUE,"Historical Data";"Forecast inputs Letter",#N/A,TRUE,"Forecast Drivers"}</definedName>
    <definedName name="wrn.Print._.All._.Letter." localSheetId="19" hidden="1">{"Valuation Letter",#N/A,TRUE,"Valuation Summary";"Financial Statements Letter",#N/A,TRUE,"Results";"Results Letter",#N/A,TRUE,"Results";"Ratios Letter",#N/A,TRUE,"Results";"Historical data Letter",#N/A,TRUE,"Historical Data";"Forecast inputs Letter",#N/A,TRUE,"Forecast Drivers"}</definedName>
    <definedName name="wrn.Print._.All._.Letter." localSheetId="22" hidden="1">{"Valuation Letter",#N/A,TRUE,"Valuation Summary";"Financial Statements Letter",#N/A,TRUE,"Results";"Results Letter",#N/A,TRUE,"Results";"Ratios Letter",#N/A,TRUE,"Results";"Historical data Letter",#N/A,TRUE,"Historical Data";"Forecast inputs Letter",#N/A,TRUE,"Forecast Drivers"}</definedName>
    <definedName name="wrn.Print._.All._.Letter." hidden="1">{"Valuation Letter",#N/A,TRUE,"Valuation Summary";"Financial Statements Letter",#N/A,TRUE,"Results";"Results Letter",#N/A,TRUE,"Results";"Ratios Letter",#N/A,TRUE,"Results";"Historical data Letter",#N/A,TRUE,"Historical Data";"Forecast inputs Letter",#N/A,TRUE,"Forecast Drivers"}</definedName>
    <definedName name="wrn.Print._.Results._.A4." localSheetId="31" hidden="1">{"Valuation",#N/A,TRUE,"Valuation Summary";"Financial Statements",#N/A,TRUE,"Results";"Results",#N/A,TRUE,"Results";"Ratios",#N/A,TRUE,"Results"}</definedName>
    <definedName name="wrn.Print._.Results._.A4." localSheetId="42" hidden="1">{"Valuation",#N/A,TRUE,"Valuation Summary";"Financial Statements",#N/A,TRUE,"Results";"Results",#N/A,TRUE,"Results";"Ratios",#N/A,TRUE,"Results"}</definedName>
    <definedName name="wrn.Print._.Results._.A4." localSheetId="30" hidden="1">{"Valuation",#N/A,TRUE,"Valuation Summary";"Financial Statements",#N/A,TRUE,"Results";"Results",#N/A,TRUE,"Results";"Ratios",#N/A,TRUE,"Results"}</definedName>
    <definedName name="wrn.Print._.Results._.A4." localSheetId="32" hidden="1">{"Valuation",#N/A,TRUE,"Valuation Summary";"Financial Statements",#N/A,TRUE,"Results";"Results",#N/A,TRUE,"Results";"Ratios",#N/A,TRUE,"Results"}</definedName>
    <definedName name="wrn.Print._.Results._.A4." localSheetId="43" hidden="1">{"Valuation",#N/A,TRUE,"Valuation Summary";"Financial Statements",#N/A,TRUE,"Results";"Results",#N/A,TRUE,"Results";"Ratios",#N/A,TRUE,"Results"}</definedName>
    <definedName name="wrn.Print._.Results._.A4." localSheetId="7" hidden="1">{"Valuation",#N/A,TRUE,"Valuation Summary";"Financial Statements",#N/A,TRUE,"Results";"Results",#N/A,TRUE,"Results";"Ratios",#N/A,TRUE,"Results"}</definedName>
    <definedName name="wrn.Print._.Results._.A4." localSheetId="5" hidden="1">{"Valuation",#N/A,TRUE,"Valuation Summary";"Financial Statements",#N/A,TRUE,"Results";"Results",#N/A,TRUE,"Results";"Ratios",#N/A,TRUE,"Results"}</definedName>
    <definedName name="wrn.Print._.Results._.A4." localSheetId="26" hidden="1">{"Valuation",#N/A,TRUE,"Valuation Summary";"Financial Statements",#N/A,TRUE,"Results";"Results",#N/A,TRUE,"Results";"Ratios",#N/A,TRUE,"Results"}</definedName>
    <definedName name="wrn.Print._.Results._.A4." localSheetId="21" hidden="1">{"Valuation",#N/A,TRUE,"Valuation Summary";"Financial Statements",#N/A,TRUE,"Results";"Results",#N/A,TRUE,"Results";"Ratios",#N/A,TRUE,"Results"}</definedName>
    <definedName name="wrn.Print._.Results._.A4." localSheetId="23" hidden="1">{"Valuation",#N/A,TRUE,"Valuation Summary";"Financial Statements",#N/A,TRUE,"Results";"Results",#N/A,TRUE,"Results";"Ratios",#N/A,TRUE,"Results"}</definedName>
    <definedName name="wrn.Print._.Results._.A4." localSheetId="9" hidden="1">{"Valuation",#N/A,TRUE,"Valuation Summary";"Financial Statements",#N/A,TRUE,"Results";"Results",#N/A,TRUE,"Results";"Ratios",#N/A,TRUE,"Results"}</definedName>
    <definedName name="wrn.Print._.Results._.A4." localSheetId="19" hidden="1">{"Valuation",#N/A,TRUE,"Valuation Summary";"Financial Statements",#N/A,TRUE,"Results";"Results",#N/A,TRUE,"Results";"Ratios",#N/A,TRUE,"Results"}</definedName>
    <definedName name="wrn.Print._.Results._.A4." localSheetId="22" hidden="1">{"Valuation",#N/A,TRUE,"Valuation Summary";"Financial Statements",#N/A,TRUE,"Results";"Results",#N/A,TRUE,"Results";"Ratios",#N/A,TRUE,"Results"}</definedName>
    <definedName name="wrn.Print._.Results._.A4." hidden="1">{"Valuation",#N/A,TRUE,"Valuation Summary";"Financial Statements",#N/A,TRUE,"Results";"Results",#N/A,TRUE,"Results";"Ratios",#N/A,TRUE,"Results"}</definedName>
    <definedName name="wrn.Print._.Results._.Letter." localSheetId="31" hidden="1">{"Valuation Letter",#N/A,TRUE,"Valuation Summary";"Financial Statements Letter",#N/A,TRUE,"Results";"Results Letter",#N/A,TRUE,"Results";"Ratios Letter",#N/A,TRUE,"Results"}</definedName>
    <definedName name="wrn.Print._.Results._.Letter." localSheetId="42" hidden="1">{"Valuation Letter",#N/A,TRUE,"Valuation Summary";"Financial Statements Letter",#N/A,TRUE,"Results";"Results Letter",#N/A,TRUE,"Results";"Ratios Letter",#N/A,TRUE,"Results"}</definedName>
    <definedName name="wrn.Print._.Results._.Letter." localSheetId="30" hidden="1">{"Valuation Letter",#N/A,TRUE,"Valuation Summary";"Financial Statements Letter",#N/A,TRUE,"Results";"Results Letter",#N/A,TRUE,"Results";"Ratios Letter",#N/A,TRUE,"Results"}</definedName>
    <definedName name="wrn.Print._.Results._.Letter." localSheetId="32" hidden="1">{"Valuation Letter",#N/A,TRUE,"Valuation Summary";"Financial Statements Letter",#N/A,TRUE,"Results";"Results Letter",#N/A,TRUE,"Results";"Ratios Letter",#N/A,TRUE,"Results"}</definedName>
    <definedName name="wrn.Print._.Results._.Letter." localSheetId="43" hidden="1">{"Valuation Letter",#N/A,TRUE,"Valuation Summary";"Financial Statements Letter",#N/A,TRUE,"Results";"Results Letter",#N/A,TRUE,"Results";"Ratios Letter",#N/A,TRUE,"Results"}</definedName>
    <definedName name="wrn.Print._.Results._.Letter." localSheetId="7" hidden="1">{"Valuation Letter",#N/A,TRUE,"Valuation Summary";"Financial Statements Letter",#N/A,TRUE,"Results";"Results Letter",#N/A,TRUE,"Results";"Ratios Letter",#N/A,TRUE,"Results"}</definedName>
    <definedName name="wrn.Print._.Results._.Letter." localSheetId="5" hidden="1">{"Valuation Letter",#N/A,TRUE,"Valuation Summary";"Financial Statements Letter",#N/A,TRUE,"Results";"Results Letter",#N/A,TRUE,"Results";"Ratios Letter",#N/A,TRUE,"Results"}</definedName>
    <definedName name="wrn.Print._.Results._.Letter." localSheetId="26" hidden="1">{"Valuation Letter",#N/A,TRUE,"Valuation Summary";"Financial Statements Letter",#N/A,TRUE,"Results";"Results Letter",#N/A,TRUE,"Results";"Ratios Letter",#N/A,TRUE,"Results"}</definedName>
    <definedName name="wrn.Print._.Results._.Letter." localSheetId="21" hidden="1">{"Valuation Letter",#N/A,TRUE,"Valuation Summary";"Financial Statements Letter",#N/A,TRUE,"Results";"Results Letter",#N/A,TRUE,"Results";"Ratios Letter",#N/A,TRUE,"Results"}</definedName>
    <definedName name="wrn.Print._.Results._.Letter." localSheetId="23" hidden="1">{"Valuation Letter",#N/A,TRUE,"Valuation Summary";"Financial Statements Letter",#N/A,TRUE,"Results";"Results Letter",#N/A,TRUE,"Results";"Ratios Letter",#N/A,TRUE,"Results"}</definedName>
    <definedName name="wrn.Print._.Results._.Letter." localSheetId="9" hidden="1">{"Valuation Letter",#N/A,TRUE,"Valuation Summary";"Financial Statements Letter",#N/A,TRUE,"Results";"Results Letter",#N/A,TRUE,"Results";"Ratios Letter",#N/A,TRUE,"Results"}</definedName>
    <definedName name="wrn.Print._.Results._.Letter." localSheetId="19" hidden="1">{"Valuation Letter",#N/A,TRUE,"Valuation Summary";"Financial Statements Letter",#N/A,TRUE,"Results";"Results Letter",#N/A,TRUE,"Results";"Ratios Letter",#N/A,TRUE,"Results"}</definedName>
    <definedName name="wrn.Print._.Results._.Letter." localSheetId="22" hidden="1">{"Valuation Letter",#N/A,TRUE,"Valuation Summary";"Financial Statements Letter",#N/A,TRUE,"Results";"Results Letter",#N/A,TRUE,"Results";"Ratios Letter",#N/A,TRUE,"Results"}</definedName>
    <definedName name="wrn.Print._.Results._.Letter." hidden="1">{"Valuation Letter",#N/A,TRUE,"Valuation Summary";"Financial Statements Letter",#N/A,TRUE,"Results";"Results Letter",#N/A,TRUE,"Results";"Ratios Letter",#N/A,TRUE,"Results"}</definedName>
    <definedName name="WVIND">'[25](H) DATASHEET'!$A$72:$A$74</definedName>
    <definedName name="ww" localSheetId="31" hidden="1">{"'domaće količine'!$K$34:$P$47"}</definedName>
    <definedName name="ww" localSheetId="42" hidden="1">{"'domaće količine'!$K$34:$P$47"}</definedName>
    <definedName name="ww" localSheetId="30" hidden="1">{"'domaće količine'!$K$34:$P$47"}</definedName>
    <definedName name="ww" localSheetId="32" hidden="1">{"'domaće količine'!$K$34:$P$47"}</definedName>
    <definedName name="ww" localSheetId="43" hidden="1">{"'domaće količine'!$K$34:$P$47"}</definedName>
    <definedName name="ww" localSheetId="7" hidden="1">{"'domaće količine'!$K$34:$P$47"}</definedName>
    <definedName name="ww" localSheetId="5" hidden="1">{"'domaće količine'!$K$34:$P$47"}</definedName>
    <definedName name="ww" localSheetId="26" hidden="1">{"'domaće količine'!$K$34:$P$47"}</definedName>
    <definedName name="ww" localSheetId="21" hidden="1">{"'domaće količine'!$K$34:$P$47"}</definedName>
    <definedName name="ww" localSheetId="23" hidden="1">{"'domaće količine'!$K$34:$P$47"}</definedName>
    <definedName name="ww" localSheetId="9" hidden="1">{"'domaće količine'!$K$34:$P$47"}</definedName>
    <definedName name="ww" localSheetId="19" hidden="1">{"'domaće količine'!$K$34:$P$47"}</definedName>
    <definedName name="ww" localSheetId="22" hidden="1">{"'domaće količine'!$K$34:$P$47"}</definedName>
    <definedName name="ww" hidden="1">{"'domaće količine'!$K$34:$P$47"}</definedName>
    <definedName name="x">'[45]Bank Loan existing '!#REF!</definedName>
    <definedName name="xcn" localSheetId="31">#REF!</definedName>
    <definedName name="xcn" localSheetId="42">#REF!</definedName>
    <definedName name="xcn" localSheetId="30">#REF!</definedName>
    <definedName name="xcn" localSheetId="32">#REF!</definedName>
    <definedName name="xcn" localSheetId="43">#REF!</definedName>
    <definedName name="xcn" localSheetId="5">#REF!</definedName>
    <definedName name="xcn" localSheetId="26">#REF!</definedName>
    <definedName name="xcn" localSheetId="9">#REF!</definedName>
    <definedName name="xcn" localSheetId="19">#REF!</definedName>
    <definedName name="xcn">#REF!</definedName>
    <definedName name="xRange10007" localSheetId="31">#REF!</definedName>
    <definedName name="xRange10007" localSheetId="42">#REF!</definedName>
    <definedName name="xRange10007" localSheetId="30">#REF!</definedName>
    <definedName name="xRange10007" localSheetId="32">#REF!</definedName>
    <definedName name="xRange10007" localSheetId="43">#REF!</definedName>
    <definedName name="xRange10007" localSheetId="5">#REF!</definedName>
    <definedName name="xRange10007" localSheetId="26">#REF!</definedName>
    <definedName name="xRange10007" localSheetId="9">#REF!</definedName>
    <definedName name="xRange10007" localSheetId="19">#REF!</definedName>
    <definedName name="xRange10007">#REF!</definedName>
    <definedName name="xRange10008" localSheetId="31">#REF!</definedName>
    <definedName name="xRange10008" localSheetId="42">#REF!</definedName>
    <definedName name="xRange10008" localSheetId="30">#REF!</definedName>
    <definedName name="xRange10008" localSheetId="32">#REF!</definedName>
    <definedName name="xRange10008" localSheetId="43">#REF!</definedName>
    <definedName name="xRange10008" localSheetId="5">#REF!</definedName>
    <definedName name="xRange10008" localSheetId="26">#REF!</definedName>
    <definedName name="xRange10008" localSheetId="9">#REF!</definedName>
    <definedName name="xRange10008" localSheetId="19">#REF!</definedName>
    <definedName name="xRange10008">#REF!</definedName>
    <definedName name="xRange10009" localSheetId="31">#REF!</definedName>
    <definedName name="xRange10009" localSheetId="42">#REF!</definedName>
    <definedName name="xRange10009" localSheetId="30">#REF!</definedName>
    <definedName name="xRange10009" localSheetId="32">#REF!</definedName>
    <definedName name="xRange10009" localSheetId="43">#REF!</definedName>
    <definedName name="xRange10009" localSheetId="5">#REF!</definedName>
    <definedName name="xRange10009" localSheetId="26">#REF!</definedName>
    <definedName name="xRange10009" localSheetId="9">#REF!</definedName>
    <definedName name="xRange10009" localSheetId="19">#REF!</definedName>
    <definedName name="xRange10009">#REF!</definedName>
    <definedName name="xRange10010" localSheetId="31">#REF!</definedName>
    <definedName name="xRange10010" localSheetId="42">#REF!</definedName>
    <definedName name="xRange10010" localSheetId="30">#REF!</definedName>
    <definedName name="xRange10010" localSheetId="32">#REF!</definedName>
    <definedName name="xRange10010" localSheetId="43">#REF!</definedName>
    <definedName name="xRange10010" localSheetId="5">#REF!</definedName>
    <definedName name="xRange10010" localSheetId="26">#REF!</definedName>
    <definedName name="xRange10010" localSheetId="9">#REF!</definedName>
    <definedName name="xRange10010" localSheetId="19">#REF!</definedName>
    <definedName name="xRange10010">#REF!</definedName>
    <definedName name="xRange10011" localSheetId="31">#REF!</definedName>
    <definedName name="xRange10011" localSheetId="42">#REF!</definedName>
    <definedName name="xRange10011" localSheetId="30">#REF!</definedName>
    <definedName name="xRange10011" localSheetId="32">#REF!</definedName>
    <definedName name="xRange10011" localSheetId="43">#REF!</definedName>
    <definedName name="xRange10011" localSheetId="5">#REF!</definedName>
    <definedName name="xRange10011" localSheetId="26">#REF!</definedName>
    <definedName name="xRange10011" localSheetId="9">#REF!</definedName>
    <definedName name="xRange10011" localSheetId="19">#REF!</definedName>
    <definedName name="xRange10011">#REF!</definedName>
    <definedName name="XRefActiveRow" hidden="1">#REF!</definedName>
    <definedName name="XRefColumnsCount" hidden="1">1</definedName>
    <definedName name="XRefCopy1" hidden="1">[76]Old!#REF!</definedName>
    <definedName name="XRefCopy1Row" localSheetId="31" hidden="1">#REF!</definedName>
    <definedName name="XRefCopy1Row" localSheetId="30" hidden="1">#REF!</definedName>
    <definedName name="XRefCopy1Row" localSheetId="32" hidden="1">#REF!</definedName>
    <definedName name="XRefCopy1Row" hidden="1">#REF!</definedName>
    <definedName name="XRefCopy2" hidden="1">[76]Old!#REF!</definedName>
    <definedName name="XRefCopy2Row" localSheetId="31" hidden="1">#REF!</definedName>
    <definedName name="XRefCopy2Row" localSheetId="30" hidden="1">#REF!</definedName>
    <definedName name="XRefCopy2Row" localSheetId="32" hidden="1">#REF!</definedName>
    <definedName name="XRefCopy2Row" hidden="1">#REF!</definedName>
    <definedName name="XRefCopyRangeCount" hidden="1">2</definedName>
    <definedName name="xx" localSheetId="31">#REF!</definedName>
    <definedName name="xx" localSheetId="30">#REF!</definedName>
    <definedName name="xx" localSheetId="32">#REF!</definedName>
    <definedName name="xx">#REF!</definedName>
    <definedName name="YESNO" localSheetId="31">#REF!</definedName>
    <definedName name="YESNO" localSheetId="30">#REF!</definedName>
    <definedName name="YESNO" localSheetId="32">#REF!</definedName>
    <definedName name="YESNO">#REF!</definedName>
    <definedName name="YYY" localSheetId="31" hidden="1">{"'Grafik Kontrol'!$A$1:$J$8"}</definedName>
    <definedName name="YYY" localSheetId="42" hidden="1">{"'Grafik Kontrol'!$A$1:$J$8"}</definedName>
    <definedName name="YYY" localSheetId="30" hidden="1">{"'Grafik Kontrol'!$A$1:$J$8"}</definedName>
    <definedName name="YYY" localSheetId="32" hidden="1">{"'Grafik Kontrol'!$A$1:$J$8"}</definedName>
    <definedName name="YYY" localSheetId="43" hidden="1">{"'Grafik Kontrol'!$A$1:$J$8"}</definedName>
    <definedName name="YYY" localSheetId="7" hidden="1">{"'Grafik Kontrol'!$A$1:$J$8"}</definedName>
    <definedName name="YYY" localSheetId="5" hidden="1">{"'Grafik Kontrol'!$A$1:$J$8"}</definedName>
    <definedName name="YYY" localSheetId="26" hidden="1">{"'Grafik Kontrol'!$A$1:$J$8"}</definedName>
    <definedName name="YYY" localSheetId="21" hidden="1">{"'Grafik Kontrol'!$A$1:$J$8"}</definedName>
    <definedName name="YYY" localSheetId="23" hidden="1">{"'Grafik Kontrol'!$A$1:$J$8"}</definedName>
    <definedName name="YYY" localSheetId="9" hidden="1">{"'Grafik Kontrol'!$A$1:$J$8"}</definedName>
    <definedName name="YYY" localSheetId="19" hidden="1">{"'Grafik Kontrol'!$A$1:$J$8"}</definedName>
    <definedName name="YYY" localSheetId="22" hidden="1">{"'Grafik Kontrol'!$A$1:$J$8"}</definedName>
    <definedName name="YYY" hidden="1">{"'Grafik Kontrol'!$A$1:$J$8"}</definedName>
    <definedName name="_xlnm.Print_Area" localSheetId="5">'I.2 Operating Perfor_CONS_YTD'!$C$58:$L$66</definedName>
    <definedName name="_xlnm.Print_Area" localSheetId="21">'Q1''23 SNA vs BP Q1''22'!#REF!</definedName>
    <definedName name="_xlnm.Print_Area" localSheetId="23">'Q1''23 SND vs BP Q1''22'!#REF!</definedName>
    <definedName name="_xlnm.Print_Area" localSheetId="9">'YTD Q1''23 SNA vs Q1''22'!$B$2:$B$26</definedName>
    <definedName name="_xlnm.Print_Area" localSheetId="10">'YTD Q1''23 SND vs Q1''22'!#REF!</definedName>
    <definedName name="_xlnm.Print_Area" localSheetId="19">'YTD Sep SNA vs PY'!$B$2:$B$26</definedName>
    <definedName name="_xlnm.Print_Area" localSheetId="22">'YTD Sep SND vs PY'!#REF!</definedName>
  </definedNames>
  <calcPr calcId="191029"/>
  <pivotCaches>
    <pivotCache cacheId="230" r:id="rId130"/>
    <pivotCache cacheId="231" r:id="rId131"/>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V31" i="47" l="1"/>
  <c r="S31" i="47"/>
  <c r="F3" i="27"/>
  <c r="C3" i="27"/>
  <c r="D13" i="50"/>
  <c r="G50" i="25"/>
  <c r="D50" i="25"/>
  <c r="H38" i="25"/>
  <c r="G38" i="25"/>
  <c r="D44" i="25"/>
  <c r="G44" i="25"/>
  <c r="N6" i="30"/>
  <c r="N5" i="30"/>
  <c r="D48" i="33" l="1"/>
  <c r="E50" i="46" l="1"/>
  <c r="U16" i="29"/>
  <c r="U15" i="29"/>
  <c r="J11" i="29"/>
  <c r="Q11" i="29"/>
  <c r="L16" i="45" l="1"/>
  <c r="P16" i="45" s="1"/>
  <c r="L10" i="45"/>
  <c r="I10" i="45"/>
  <c r="AC45" i="50"/>
  <c r="AC46" i="50" s="1"/>
  <c r="O26" i="21" l="1"/>
  <c r="O25" i="21"/>
  <c r="L27" i="21"/>
  <c r="L25" i="21"/>
  <c r="O21" i="21"/>
  <c r="O5" i="21"/>
  <c r="O12" i="21"/>
  <c r="O13" i="21"/>
  <c r="O20" i="21" s="1"/>
  <c r="O6" i="21"/>
  <c r="O7" i="21"/>
  <c r="O8" i="21"/>
  <c r="O9" i="21"/>
  <c r="O10" i="21"/>
  <c r="O11" i="21"/>
  <c r="O22" i="21"/>
  <c r="M27" i="21"/>
  <c r="N20" i="21"/>
  <c r="N27" i="21" s="1"/>
  <c r="O28" i="21" s="1"/>
  <c r="M20" i="21"/>
  <c r="M23" i="21" s="1"/>
  <c r="E42" i="20"/>
  <c r="O27" i="21" l="1"/>
  <c r="N23" i="21"/>
  <c r="O23" i="21" l="1"/>
  <c r="Z2" i="45" l="1"/>
  <c r="M39" i="25"/>
  <c r="F39" i="25"/>
  <c r="H7" i="12"/>
  <c r="Q7" i="45" l="1"/>
  <c r="R7" i="45" l="1"/>
  <c r="A51" i="33" l="1"/>
  <c r="O21" i="29"/>
  <c r="O20" i="29"/>
  <c r="O19" i="29"/>
  <c r="O18" i="29"/>
  <c r="O17" i="29"/>
  <c r="Q18" i="29"/>
  <c r="O16" i="29"/>
  <c r="O10" i="29"/>
  <c r="O9" i="29"/>
  <c r="O15" i="29"/>
  <c r="D14" i="34"/>
  <c r="R10" i="44" l="1"/>
  <c r="Q10" i="44"/>
  <c r="AF29" i="50"/>
  <c r="B10" i="50"/>
  <c r="B22" i="50"/>
  <c r="B14" i="50"/>
  <c r="B13" i="50"/>
  <c r="B12" i="50"/>
  <c r="AF36" i="50"/>
  <c r="AF35" i="50"/>
  <c r="AF34" i="50"/>
  <c r="AF33" i="50"/>
  <c r="AF32" i="50"/>
  <c r="AF31" i="50"/>
  <c r="AF30" i="50"/>
  <c r="AE36" i="50"/>
  <c r="AE35" i="50"/>
  <c r="AE34" i="50"/>
  <c r="AE33" i="50"/>
  <c r="AE32" i="50"/>
  <c r="AE31" i="50"/>
  <c r="AE30" i="50"/>
  <c r="AE29" i="50"/>
  <c r="AF40" i="50"/>
  <c r="AE42" i="50"/>
  <c r="AB29" i="50"/>
  <c r="AF41" i="50"/>
  <c r="AE41" i="50"/>
  <c r="AE40" i="50"/>
  <c r="C14" i="27" l="1"/>
  <c r="J14" i="27" s="1"/>
  <c r="C13" i="29"/>
  <c r="C11" i="29"/>
  <c r="T4" i="29"/>
  <c r="C12" i="27"/>
  <c r="I24" i="50"/>
  <c r="G25" i="50"/>
  <c r="H24" i="50"/>
  <c r="AB41" i="50"/>
  <c r="AC40" i="50"/>
  <c r="I14" i="45"/>
  <c r="I12" i="45"/>
  <c r="D11" i="26" s="1"/>
  <c r="D11" i="44"/>
  <c r="C67" i="49"/>
  <c r="I16" i="52"/>
  <c r="H16" i="52"/>
  <c r="F16" i="52"/>
  <c r="G16" i="52"/>
  <c r="F5" i="51" l="1"/>
  <c r="E5" i="51"/>
  <c r="D5" i="51"/>
  <c r="D4" i="51"/>
  <c r="D3" i="51"/>
  <c r="E3" i="51"/>
  <c r="AC43" i="50" l="1"/>
  <c r="AS8" i="43"/>
  <c r="AB40" i="50"/>
  <c r="T38" i="50"/>
  <c r="S38" i="50"/>
  <c r="Z41" i="50"/>
  <c r="Z40" i="50"/>
  <c r="C11" i="50"/>
  <c r="B11" i="50"/>
  <c r="C10" i="50"/>
  <c r="P38" i="50"/>
  <c r="O38" i="50"/>
  <c r="X36" i="50"/>
  <c r="Y36" i="50" s="1"/>
  <c r="T36" i="50"/>
  <c r="V36" i="50" s="1"/>
  <c r="S36" i="50"/>
  <c r="U36" i="50" s="1"/>
  <c r="R36" i="50"/>
  <c r="Q36" i="50"/>
  <c r="AB36" i="50" s="1"/>
  <c r="G36" i="50"/>
  <c r="H36" i="50" s="1"/>
  <c r="I36" i="50" s="1"/>
  <c r="J36" i="50" s="1"/>
  <c r="D36" i="50"/>
  <c r="T35" i="50"/>
  <c r="S35" i="50"/>
  <c r="R35" i="50"/>
  <c r="X35" i="50" s="1"/>
  <c r="Y35" i="50" s="1"/>
  <c r="Q35" i="50"/>
  <c r="U35" i="50" s="1"/>
  <c r="G35" i="50"/>
  <c r="H35" i="50" s="1"/>
  <c r="I35" i="50" s="1"/>
  <c r="J35" i="50" s="1"/>
  <c r="D35" i="50"/>
  <c r="X34" i="50"/>
  <c r="Y34" i="50" s="1"/>
  <c r="T34" i="50"/>
  <c r="V34" i="50" s="1"/>
  <c r="S34" i="50"/>
  <c r="R34" i="50"/>
  <c r="Q34" i="50"/>
  <c r="G34" i="50"/>
  <c r="H34" i="50" s="1"/>
  <c r="I34" i="50" s="1"/>
  <c r="J34" i="50" s="1"/>
  <c r="D34" i="50"/>
  <c r="V33" i="50"/>
  <c r="AC33" i="50" s="1"/>
  <c r="U33" i="50"/>
  <c r="T33" i="50"/>
  <c r="S33" i="50"/>
  <c r="R33" i="50"/>
  <c r="AB33" i="50" s="1"/>
  <c r="Q33" i="50"/>
  <c r="AA33" i="50" s="1"/>
  <c r="H33" i="50"/>
  <c r="I33" i="50" s="1"/>
  <c r="J33" i="50" s="1"/>
  <c r="G33" i="50"/>
  <c r="D33" i="50"/>
  <c r="X32" i="50"/>
  <c r="Y32" i="50" s="1"/>
  <c r="T32" i="50"/>
  <c r="V32" i="50" s="1"/>
  <c r="S32" i="50"/>
  <c r="U32" i="50" s="1"/>
  <c r="R32" i="50"/>
  <c r="Q32" i="50"/>
  <c r="G32" i="50"/>
  <c r="H32" i="50" s="1"/>
  <c r="I32" i="50" s="1"/>
  <c r="J32" i="50" s="1"/>
  <c r="C32" i="50"/>
  <c r="T31" i="50"/>
  <c r="S31" i="50"/>
  <c r="U31" i="50" s="1"/>
  <c r="R31" i="50"/>
  <c r="X31" i="50" s="1"/>
  <c r="Y31" i="50" s="1"/>
  <c r="Q31" i="50"/>
  <c r="G31" i="50"/>
  <c r="H31" i="50" s="1"/>
  <c r="I31" i="50" s="1"/>
  <c r="J31" i="50" s="1"/>
  <c r="D31" i="50"/>
  <c r="X30" i="50"/>
  <c r="Y30" i="50" s="1"/>
  <c r="S30" i="50"/>
  <c r="R30" i="50"/>
  <c r="Q30" i="50"/>
  <c r="F30" i="50"/>
  <c r="T30" i="50" s="1"/>
  <c r="D30" i="50"/>
  <c r="X29" i="50"/>
  <c r="Y29" i="50" s="1"/>
  <c r="T29" i="50"/>
  <c r="V29" i="50" s="1"/>
  <c r="S29" i="50"/>
  <c r="U29" i="50" s="1"/>
  <c r="R29" i="50"/>
  <c r="AD29" i="50" s="1"/>
  <c r="Q29" i="50"/>
  <c r="G29" i="50"/>
  <c r="H29" i="50" s="1"/>
  <c r="I29" i="50" s="1"/>
  <c r="J29" i="50" s="1"/>
  <c r="D29" i="50"/>
  <c r="H22" i="50"/>
  <c r="I21" i="50"/>
  <c r="I20" i="50"/>
  <c r="B20" i="50"/>
  <c r="B16" i="50" s="1"/>
  <c r="F16" i="50"/>
  <c r="F17" i="50" s="1"/>
  <c r="J9" i="50"/>
  <c r="I9" i="50"/>
  <c r="H9" i="50"/>
  <c r="K8" i="50"/>
  <c r="K7" i="50"/>
  <c r="K6" i="50"/>
  <c r="K5" i="50"/>
  <c r="K4" i="50"/>
  <c r="K3" i="50"/>
  <c r="C12" i="50" l="1"/>
  <c r="C13" i="50"/>
  <c r="V30" i="50"/>
  <c r="W32" i="50"/>
  <c r="AC32" i="50"/>
  <c r="AC34" i="50"/>
  <c r="AB34" i="50"/>
  <c r="W29" i="50"/>
  <c r="AC29" i="50"/>
  <c r="AA32" i="50"/>
  <c r="W36" i="50"/>
  <c r="AC36" i="50"/>
  <c r="AA36" i="50"/>
  <c r="G30" i="50"/>
  <c r="H30" i="50" s="1"/>
  <c r="I30" i="50" s="1"/>
  <c r="J30" i="50" s="1"/>
  <c r="U30" i="50"/>
  <c r="W33" i="50"/>
  <c r="Z33" i="50" s="1"/>
  <c r="U34" i="50"/>
  <c r="AA34" i="50" s="1"/>
  <c r="Z29" i="50"/>
  <c r="Z32" i="50"/>
  <c r="X33" i="50"/>
  <c r="Y33" i="50" s="1"/>
  <c r="AB35" i="50"/>
  <c r="Z36" i="50"/>
  <c r="AB32" i="50"/>
  <c r="V35" i="50"/>
  <c r="AA29" i="50"/>
  <c r="V31" i="50"/>
  <c r="K9" i="50"/>
  <c r="K11" i="50" s="1"/>
  <c r="I22" i="50"/>
  <c r="W31" i="50" l="1"/>
  <c r="Z31" i="50" s="1"/>
  <c r="AC31" i="50"/>
  <c r="AB31" i="50"/>
  <c r="W35" i="50"/>
  <c r="Z35" i="50" s="1"/>
  <c r="AC35" i="50"/>
  <c r="AA35" i="50"/>
  <c r="W34" i="50"/>
  <c r="Z34" i="50" s="1"/>
  <c r="AA40" i="50"/>
  <c r="AA31" i="50"/>
  <c r="T40" i="50"/>
  <c r="AA30" i="50"/>
  <c r="AB30" i="50"/>
  <c r="W30" i="50"/>
  <c r="Z30" i="50" s="1"/>
  <c r="AC30" i="50"/>
  <c r="B17" i="50"/>
  <c r="B18" i="50" s="1"/>
  <c r="AD40" i="50" l="1"/>
  <c r="E65" i="49" l="1"/>
  <c r="H63" i="49"/>
  <c r="H62" i="49"/>
  <c r="D54" i="49"/>
  <c r="F54" i="49" s="1"/>
  <c r="G54" i="49" s="1"/>
  <c r="D52" i="49"/>
  <c r="F52" i="49" s="1"/>
  <c r="G52" i="49" s="1"/>
  <c r="D53" i="49"/>
  <c r="F53" i="49" s="1"/>
  <c r="G53" i="49" s="1"/>
  <c r="C56" i="49" l="1"/>
  <c r="F11" i="49"/>
  <c r="G11" i="49" s="1"/>
  <c r="D12" i="49"/>
  <c r="F12" i="49" s="1"/>
  <c r="G12" i="49" s="1"/>
  <c r="D21" i="49"/>
  <c r="F21" i="49" s="1"/>
  <c r="G21" i="49" s="1"/>
  <c r="D22" i="49"/>
  <c r="F22" i="49" s="1"/>
  <c r="G22" i="49" s="1"/>
  <c r="D23" i="49"/>
  <c r="F23" i="49" s="1"/>
  <c r="G23" i="49" s="1"/>
  <c r="D24" i="49"/>
  <c r="F24" i="49" s="1"/>
  <c r="G24" i="49" s="1"/>
  <c r="D25" i="49"/>
  <c r="F25" i="49" s="1"/>
  <c r="G25" i="49" s="1"/>
  <c r="D28" i="49"/>
  <c r="F28" i="49" s="1"/>
  <c r="G28" i="49" s="1"/>
  <c r="D29" i="49"/>
  <c r="F29" i="49" s="1"/>
  <c r="G29" i="49" s="1"/>
  <c r="D30" i="49"/>
  <c r="F30" i="49" s="1"/>
  <c r="G30" i="49" s="1"/>
  <c r="F33" i="49"/>
  <c r="G33" i="49" s="1"/>
  <c r="D36" i="49"/>
  <c r="F36" i="49" s="1"/>
  <c r="G36" i="49" s="1"/>
  <c r="D38" i="49"/>
  <c r="F38" i="49" s="1"/>
  <c r="G38" i="49" s="1"/>
  <c r="D39" i="49"/>
  <c r="F39" i="49" s="1"/>
  <c r="G39" i="49" s="1"/>
  <c r="D40" i="49"/>
  <c r="F40" i="49" s="1"/>
  <c r="G40" i="49" s="1"/>
  <c r="AA11" i="45" l="1"/>
  <c r="AB11" i="45" s="1"/>
  <c r="P11" i="45"/>
  <c r="D18" i="49" l="1"/>
  <c r="F18" i="49" s="1"/>
  <c r="G18" i="49" s="1"/>
  <c r="D42" i="49"/>
  <c r="F42" i="49" s="1"/>
  <c r="G42" i="49" s="1"/>
  <c r="D7" i="49"/>
  <c r="F7" i="49" s="1"/>
  <c r="G7" i="49" s="1"/>
  <c r="D15" i="49"/>
  <c r="F15" i="49" s="1"/>
  <c r="G15" i="49" s="1"/>
  <c r="D9" i="49"/>
  <c r="F9" i="49" s="1"/>
  <c r="G9" i="49" s="1"/>
  <c r="D47" i="49"/>
  <c r="F47" i="49" s="1"/>
  <c r="G47" i="49" s="1"/>
  <c r="D46" i="49"/>
  <c r="F46" i="49" s="1"/>
  <c r="G46" i="49" s="1"/>
  <c r="D20" i="49"/>
  <c r="F20" i="49" s="1"/>
  <c r="G20" i="49" s="1"/>
  <c r="D31" i="49"/>
  <c r="F31" i="49" s="1"/>
  <c r="G31" i="49" s="1"/>
  <c r="D41" i="49"/>
  <c r="F41" i="49" s="1"/>
  <c r="G41" i="49" s="1"/>
  <c r="D48" i="49"/>
  <c r="F48" i="49" s="1"/>
  <c r="G48" i="49" s="1"/>
  <c r="D37" i="49"/>
  <c r="F37" i="49" s="1"/>
  <c r="G37" i="49" s="1"/>
  <c r="D16" i="49"/>
  <c r="F16" i="49" s="1"/>
  <c r="G16" i="49" s="1"/>
  <c r="D13" i="49"/>
  <c r="F13" i="49" s="1"/>
  <c r="G13" i="49" s="1"/>
  <c r="D8" i="49"/>
  <c r="F8" i="49" s="1"/>
  <c r="G8" i="49" s="1"/>
  <c r="D17" i="49"/>
  <c r="F17" i="49" s="1"/>
  <c r="G17" i="49" s="1"/>
  <c r="D5" i="49"/>
  <c r="F5" i="49" s="1"/>
  <c r="G5" i="49" s="1"/>
  <c r="D49" i="49"/>
  <c r="F49" i="49" s="1"/>
  <c r="G49" i="49" s="1"/>
  <c r="D26" i="49"/>
  <c r="F26" i="49" s="1"/>
  <c r="G26" i="49" s="1"/>
  <c r="D6" i="49"/>
  <c r="F6" i="49" s="1"/>
  <c r="G6" i="49" s="1"/>
  <c r="D19" i="49"/>
  <c r="F19" i="49" s="1"/>
  <c r="G19" i="49" s="1"/>
  <c r="D45" i="49"/>
  <c r="F45" i="49" s="1"/>
  <c r="G45" i="49" s="1"/>
  <c r="D10" i="49"/>
  <c r="F10" i="49" s="1"/>
  <c r="G10" i="49" s="1"/>
  <c r="D44" i="49"/>
  <c r="F44" i="49" s="1"/>
  <c r="G44" i="49" s="1"/>
  <c r="D51" i="49"/>
  <c r="F51" i="49" s="1"/>
  <c r="G51" i="49" s="1"/>
  <c r="D27" i="49"/>
  <c r="F27" i="49" s="1"/>
  <c r="G27" i="49" s="1"/>
  <c r="D35" i="49"/>
  <c r="F35" i="49" s="1"/>
  <c r="G35" i="49" s="1"/>
  <c r="D50" i="49"/>
  <c r="F50" i="49" s="1"/>
  <c r="G50" i="49" s="1"/>
  <c r="D43" i="49" l="1"/>
  <c r="F43" i="49" s="1"/>
  <c r="G43" i="49" s="1"/>
  <c r="D32" i="49"/>
  <c r="F32" i="49" s="1"/>
  <c r="G32" i="49" s="1"/>
  <c r="D34" i="49"/>
  <c r="F34" i="49" s="1"/>
  <c r="G34" i="49" s="1"/>
  <c r="D14" i="49" l="1"/>
  <c r="D56" i="49" l="1"/>
  <c r="F14" i="49"/>
  <c r="G14" i="49" s="1"/>
  <c r="D59" i="49" l="1"/>
  <c r="E56" i="49"/>
  <c r="F56" i="49" s="1"/>
  <c r="D21" i="48" l="1"/>
  <c r="D20" i="48"/>
  <c r="E21" i="48"/>
  <c r="E20" i="48"/>
  <c r="E9" i="48"/>
  <c r="E8" i="48"/>
  <c r="D9" i="48"/>
  <c r="D8" i="48"/>
  <c r="B18" i="48"/>
  <c r="B19" i="48" s="1"/>
  <c r="D17" i="48"/>
  <c r="D18" i="48" s="1"/>
  <c r="E16" i="48"/>
  <c r="F16" i="48" s="1"/>
  <c r="D16" i="48"/>
  <c r="C21" i="48" s="1"/>
  <c r="C9" i="48"/>
  <c r="B6" i="48"/>
  <c r="B7" i="48" s="1"/>
  <c r="D5" i="48"/>
  <c r="C8" i="48" s="1"/>
  <c r="G4" i="48"/>
  <c r="E4" i="48"/>
  <c r="F4" i="48" s="1"/>
  <c r="D4" i="48"/>
  <c r="D6" i="48" s="1"/>
  <c r="D7" i="48" s="1"/>
  <c r="C10" i="48" l="1"/>
  <c r="C20" i="48"/>
  <c r="C22" i="48" l="1"/>
  <c r="R46" i="17" l="1"/>
  <c r="J49" i="38"/>
  <c r="J48" i="38"/>
  <c r="J47" i="38"/>
  <c r="J46" i="38"/>
  <c r="J45" i="38"/>
  <c r="J44" i="38"/>
  <c r="D59" i="38"/>
  <c r="H75" i="22" l="1"/>
  <c r="G75" i="22"/>
  <c r="F75" i="22"/>
  <c r="E75" i="22"/>
  <c r="D75" i="22"/>
  <c r="I75" i="22" s="1"/>
  <c r="H74" i="22"/>
  <c r="G74" i="22"/>
  <c r="F74" i="22"/>
  <c r="E74" i="22"/>
  <c r="D74" i="22"/>
  <c r="H73" i="22"/>
  <c r="G73" i="22"/>
  <c r="F73" i="22"/>
  <c r="E73" i="22"/>
  <c r="D73" i="22"/>
  <c r="G72" i="22"/>
  <c r="F72" i="22"/>
  <c r="E72" i="22"/>
  <c r="D72" i="22"/>
  <c r="H71" i="22"/>
  <c r="G71" i="22"/>
  <c r="F71" i="22"/>
  <c r="E71" i="22"/>
  <c r="D71" i="22"/>
  <c r="I71" i="22" s="1"/>
  <c r="H70" i="22"/>
  <c r="G70" i="22"/>
  <c r="F70" i="22"/>
  <c r="I70" i="22" s="1"/>
  <c r="E70" i="22"/>
  <c r="D70" i="22"/>
  <c r="H69" i="22"/>
  <c r="G69" i="22"/>
  <c r="F69" i="22"/>
  <c r="E69" i="22"/>
  <c r="D69" i="22"/>
  <c r="H68" i="22"/>
  <c r="G68" i="22"/>
  <c r="F68" i="22"/>
  <c r="E68" i="22"/>
  <c r="D68" i="22"/>
  <c r="I68" i="22" s="1"/>
  <c r="M68" i="22" s="1"/>
  <c r="H67" i="22"/>
  <c r="G67" i="22"/>
  <c r="F67" i="22"/>
  <c r="E67" i="22"/>
  <c r="D67" i="22"/>
  <c r="H66" i="22"/>
  <c r="G66" i="22"/>
  <c r="F66" i="22"/>
  <c r="E66" i="22"/>
  <c r="D66" i="22"/>
  <c r="H65" i="22"/>
  <c r="G65" i="22"/>
  <c r="F65" i="22"/>
  <c r="E65" i="22"/>
  <c r="D65" i="22"/>
  <c r="I65" i="22" s="1"/>
  <c r="M65" i="22" s="1"/>
  <c r="H64" i="22"/>
  <c r="G64" i="22"/>
  <c r="F64" i="22"/>
  <c r="E64" i="22"/>
  <c r="D64" i="22"/>
  <c r="O17" i="26"/>
  <c r="O9" i="26"/>
  <c r="G11" i="26"/>
  <c r="J16" i="45"/>
  <c r="I73" i="22" l="1"/>
  <c r="I74" i="22"/>
  <c r="I67" i="22"/>
  <c r="M67" i="22" s="1"/>
  <c r="I72" i="22"/>
  <c r="I66" i="22"/>
  <c r="M66" i="22" s="1"/>
  <c r="I69" i="22"/>
  <c r="M69" i="22" s="1"/>
  <c r="I64" i="22"/>
  <c r="M64" i="22" s="1"/>
  <c r="M70" i="22"/>
  <c r="M71" i="22"/>
  <c r="F44" i="33" l="1"/>
  <c r="E46" i="33" s="1"/>
  <c r="E47" i="33" l="1"/>
  <c r="E48" i="33"/>
  <c r="E44" i="33"/>
  <c r="E45" i="33"/>
  <c r="F50" i="33" l="1"/>
  <c r="G46" i="33" s="1"/>
  <c r="F52" i="25"/>
  <c r="G47" i="33" l="1"/>
  <c r="G48" i="33"/>
  <c r="G44" i="33"/>
  <c r="G45" i="33"/>
  <c r="W12" i="21"/>
  <c r="X12" i="21" s="1"/>
  <c r="F117" i="22" l="1"/>
  <c r="F116" i="22"/>
  <c r="F115" i="22"/>
  <c r="F114" i="22"/>
  <c r="F113" i="22"/>
  <c r="F112" i="22"/>
  <c r="F111" i="22"/>
  <c r="F110" i="22"/>
  <c r="F109" i="22"/>
  <c r="F108" i="22"/>
  <c r="F107" i="22"/>
  <c r="F106" i="22"/>
  <c r="F105" i="22"/>
  <c r="F104" i="22"/>
  <c r="F103" i="22"/>
  <c r="F102" i="22"/>
  <c r="F101" i="22"/>
  <c r="F100" i="22"/>
  <c r="F99" i="22"/>
  <c r="F98" i="22"/>
  <c r="F97" i="22"/>
  <c r="F96" i="22"/>
  <c r="F95" i="22"/>
  <c r="F94" i="22"/>
  <c r="I36" i="21" l="1"/>
  <c r="M84" i="22" l="1"/>
  <c r="M83" i="22"/>
  <c r="M78" i="22"/>
  <c r="M82" i="22"/>
  <c r="M81" i="22"/>
  <c r="M80" i="22"/>
  <c r="M79" i="22"/>
  <c r="M77" i="22"/>
  <c r="M76" i="22"/>
  <c r="M75" i="22"/>
  <c r="M74" i="22"/>
  <c r="M73" i="22"/>
  <c r="M72" i="22"/>
  <c r="G47" i="47"/>
  <c r="M46" i="47"/>
  <c r="H47" i="47"/>
  <c r="H49" i="47"/>
  <c r="H51" i="47" s="1"/>
  <c r="G49" i="47"/>
  <c r="G52" i="47" s="1"/>
  <c r="L46" i="47"/>
  <c r="Y35" i="47"/>
  <c r="Y34" i="47"/>
  <c r="Y33" i="47"/>
  <c r="K33" i="47"/>
  <c r="M52" i="47"/>
  <c r="L52" i="47"/>
  <c r="M51" i="47"/>
  <c r="L51" i="47"/>
  <c r="O35" i="47"/>
  <c r="N35" i="47"/>
  <c r="O34" i="47"/>
  <c r="N34" i="47"/>
  <c r="B1" i="47"/>
  <c r="L48" i="46"/>
  <c r="K48" i="46"/>
  <c r="T86" i="22"/>
  <c r="R87" i="22"/>
  <c r="R86" i="22"/>
  <c r="Q84" i="22"/>
  <c r="Q83" i="22"/>
  <c r="S83" i="22" s="1"/>
  <c r="Q82" i="22"/>
  <c r="P82" i="22"/>
  <c r="Q81" i="22"/>
  <c r="P81" i="22"/>
  <c r="S81" i="22" s="1"/>
  <c r="Q80" i="22"/>
  <c r="P80" i="22"/>
  <c r="S80" i="22" s="1"/>
  <c r="Q79" i="22"/>
  <c r="P79" i="22"/>
  <c r="Q78" i="22"/>
  <c r="P78" i="22"/>
  <c r="P77" i="22"/>
  <c r="Q76" i="22"/>
  <c r="P76" i="22"/>
  <c r="P75" i="22"/>
  <c r="P74" i="22"/>
  <c r="Q73" i="22"/>
  <c r="P73" i="22"/>
  <c r="R72" i="22"/>
  <c r="R88" i="22" s="1"/>
  <c r="P72" i="22"/>
  <c r="Q72" i="22"/>
  <c r="S84" i="22"/>
  <c r="P71" i="22"/>
  <c r="S71" i="22" s="1"/>
  <c r="Q70" i="22"/>
  <c r="Q87" i="22" s="1"/>
  <c r="P69" i="22"/>
  <c r="S69" i="22" s="1"/>
  <c r="P66" i="22"/>
  <c r="P68" i="22"/>
  <c r="S68" i="22" s="1"/>
  <c r="P67" i="22"/>
  <c r="S67" i="22" s="1"/>
  <c r="P65" i="22"/>
  <c r="S65" i="22" s="1"/>
  <c r="P64" i="22"/>
  <c r="S64" i="22" s="1"/>
  <c r="M53" i="46"/>
  <c r="B2" i="46"/>
  <c r="H52" i="47" l="1"/>
  <c r="H53" i="47"/>
  <c r="H54" i="47" s="1"/>
  <c r="D33" i="47" s="1"/>
  <c r="C33" i="47" s="1"/>
  <c r="G51" i="47"/>
  <c r="G53" i="47"/>
  <c r="M34" i="47"/>
  <c r="M35" i="47"/>
  <c r="L33" i="47"/>
  <c r="P86" i="22"/>
  <c r="Q86" i="22"/>
  <c r="S78" i="22"/>
  <c r="S77" i="22"/>
  <c r="S73" i="22"/>
  <c r="S75" i="22"/>
  <c r="S74" i="22"/>
  <c r="S72" i="22"/>
  <c r="Q88" i="22"/>
  <c r="M47" i="46" s="1"/>
  <c r="P87" i="22"/>
  <c r="U87" i="22" s="1"/>
  <c r="U86" i="22"/>
  <c r="S86" i="22"/>
  <c r="K46" i="46"/>
  <c r="K47" i="46"/>
  <c r="Q89" i="22"/>
  <c r="V86" i="22"/>
  <c r="S66" i="22"/>
  <c r="L47" i="46"/>
  <c r="V87" i="22"/>
  <c r="S82" i="22"/>
  <c r="P88" i="22"/>
  <c r="S70" i="22"/>
  <c r="R89" i="22"/>
  <c r="S79" i="22"/>
  <c r="S76" i="22"/>
  <c r="M48" i="46"/>
  <c r="M53" i="47"/>
  <c r="L53" i="47"/>
  <c r="L36" i="47"/>
  <c r="Z41" i="45"/>
  <c r="M30" i="45"/>
  <c r="J30" i="45"/>
  <c r="M29" i="45"/>
  <c r="P29" i="45"/>
  <c r="M25" i="45"/>
  <c r="P25" i="45"/>
  <c r="M23" i="45"/>
  <c r="J23" i="45"/>
  <c r="M22" i="45"/>
  <c r="J22" i="45"/>
  <c r="P22" i="45"/>
  <c r="M21" i="45"/>
  <c r="P21" i="45"/>
  <c r="P19" i="45"/>
  <c r="M19" i="45"/>
  <c r="J19" i="45"/>
  <c r="AG17" i="45"/>
  <c r="AF17" i="45"/>
  <c r="AG16" i="45"/>
  <c r="AF16" i="45"/>
  <c r="M16" i="45"/>
  <c r="Q16" i="45" s="1"/>
  <c r="W16" i="45" s="1"/>
  <c r="AG15" i="45"/>
  <c r="AF15" i="45"/>
  <c r="AH15" i="45" s="1"/>
  <c r="M15" i="45"/>
  <c r="P15" i="45"/>
  <c r="M14" i="45"/>
  <c r="P14" i="45"/>
  <c r="P12" i="45"/>
  <c r="M12" i="45"/>
  <c r="J12" i="45"/>
  <c r="E11" i="26" s="1"/>
  <c r="J11" i="45"/>
  <c r="E3" i="45" s="1"/>
  <c r="G46" i="25"/>
  <c r="G52" i="25" s="1"/>
  <c r="P9" i="45"/>
  <c r="M9" i="45"/>
  <c r="J9" i="45"/>
  <c r="P8" i="45"/>
  <c r="M8" i="45"/>
  <c r="U54" i="46" s="1"/>
  <c r="V54" i="46" s="1"/>
  <c r="J8" i="45"/>
  <c r="U49" i="46" s="1"/>
  <c r="V49" i="46" s="1"/>
  <c r="T40" i="44"/>
  <c r="G29" i="44"/>
  <c r="D29" i="44"/>
  <c r="G28" i="44"/>
  <c r="D28" i="44"/>
  <c r="G24" i="44"/>
  <c r="D24" i="44"/>
  <c r="G22" i="44"/>
  <c r="G22" i="26" s="1"/>
  <c r="D22" i="44"/>
  <c r="D22" i="26" s="1"/>
  <c r="G21" i="44"/>
  <c r="D21" i="44"/>
  <c r="G20" i="44"/>
  <c r="D20" i="44"/>
  <c r="G18" i="44"/>
  <c r="D18" i="44"/>
  <c r="D18" i="26" s="1"/>
  <c r="AA16" i="44"/>
  <c r="Z16" i="44"/>
  <c r="AB16" i="44" s="1"/>
  <c r="AA15" i="44"/>
  <c r="AB15" i="44" s="1"/>
  <c r="Z15" i="44"/>
  <c r="G15" i="44"/>
  <c r="G15" i="26" s="1"/>
  <c r="D15" i="44"/>
  <c r="AA14" i="44"/>
  <c r="Z14" i="44"/>
  <c r="AB14" i="44" s="1"/>
  <c r="G14" i="26"/>
  <c r="G13" i="44"/>
  <c r="D13" i="44"/>
  <c r="D13" i="26" s="1"/>
  <c r="K11" i="44"/>
  <c r="H11" i="44"/>
  <c r="E11" i="44"/>
  <c r="D10" i="26"/>
  <c r="G8" i="44"/>
  <c r="D8" i="44"/>
  <c r="G7" i="44"/>
  <c r="D7" i="44"/>
  <c r="E7" i="44" s="1"/>
  <c r="K3" i="44"/>
  <c r="D14" i="21"/>
  <c r="D15" i="21" s="1"/>
  <c r="D16" i="21" s="1"/>
  <c r="D17" i="21" s="1"/>
  <c r="P89" i="22" l="1"/>
  <c r="S88" i="22"/>
  <c r="AH17" i="45"/>
  <c r="AH16" i="45"/>
  <c r="G54" i="47"/>
  <c r="C34" i="47"/>
  <c r="G35" i="47"/>
  <c r="C35" i="47"/>
  <c r="F35" i="47" s="1"/>
  <c r="H11" i="26"/>
  <c r="L11" i="44"/>
  <c r="E7" i="26"/>
  <c r="K28" i="44"/>
  <c r="K20" i="44"/>
  <c r="D20" i="26"/>
  <c r="H18" i="44"/>
  <c r="H18" i="26" s="1"/>
  <c r="G18" i="26"/>
  <c r="H10" i="44"/>
  <c r="G10" i="26"/>
  <c r="E8" i="44"/>
  <c r="E9" i="44" s="1"/>
  <c r="F10" i="44" s="1"/>
  <c r="D8" i="26"/>
  <c r="H13" i="44"/>
  <c r="H13" i="26" s="1"/>
  <c r="G13" i="26"/>
  <c r="E10" i="44"/>
  <c r="E10" i="26" s="1"/>
  <c r="E14" i="44"/>
  <c r="D14" i="26"/>
  <c r="H28" i="44"/>
  <c r="H28" i="26" s="1"/>
  <c r="G28" i="26"/>
  <c r="K29" i="44"/>
  <c r="D29" i="26"/>
  <c r="G9" i="44"/>
  <c r="H9" i="44" s="1"/>
  <c r="U9" i="44" s="1"/>
  <c r="G7" i="26"/>
  <c r="H8" i="44"/>
  <c r="H8" i="26" s="1"/>
  <c r="G8" i="26"/>
  <c r="H29" i="44"/>
  <c r="H29" i="26" s="1"/>
  <c r="G29" i="26"/>
  <c r="H20" i="44"/>
  <c r="H20" i="26" s="1"/>
  <c r="G20" i="26"/>
  <c r="H24" i="44"/>
  <c r="H24" i="26" s="1"/>
  <c r="G24" i="26"/>
  <c r="H15" i="44"/>
  <c r="H15" i="26" s="1"/>
  <c r="E21" i="44"/>
  <c r="E21" i="26" s="1"/>
  <c r="D21" i="26"/>
  <c r="H21" i="44"/>
  <c r="H21" i="26" s="1"/>
  <c r="G21" i="26"/>
  <c r="E15" i="44"/>
  <c r="E15" i="26" s="1"/>
  <c r="D15" i="26"/>
  <c r="V88" i="22"/>
  <c r="S87" i="22"/>
  <c r="S89" i="22" s="1"/>
  <c r="L46" i="46"/>
  <c r="M46" i="46"/>
  <c r="U88" i="22"/>
  <c r="H14" i="44"/>
  <c r="H14" i="26" s="1"/>
  <c r="K13" i="44"/>
  <c r="E22" i="44"/>
  <c r="E22" i="26" s="1"/>
  <c r="K24" i="44"/>
  <c r="E18" i="44"/>
  <c r="K22" i="44"/>
  <c r="D7" i="26"/>
  <c r="D24" i="26"/>
  <c r="K14" i="44"/>
  <c r="D28" i="26"/>
  <c r="G34" i="47"/>
  <c r="F34" i="47"/>
  <c r="E34" i="47"/>
  <c r="Q30" i="45"/>
  <c r="R30" i="45" s="1"/>
  <c r="Q9" i="45"/>
  <c r="R9" i="45" s="1"/>
  <c r="AH18" i="45"/>
  <c r="J10" i="45"/>
  <c r="Q23" i="45"/>
  <c r="R23" i="45" s="1"/>
  <c r="AA8" i="45"/>
  <c r="Q8" i="45"/>
  <c r="R8" i="45" s="1"/>
  <c r="Q22" i="45"/>
  <c r="Q19" i="45"/>
  <c r="M10" i="45"/>
  <c r="P10" i="45"/>
  <c r="L13" i="45"/>
  <c r="R16" i="45"/>
  <c r="J14" i="45"/>
  <c r="J25" i="45"/>
  <c r="Q25" i="45" s="1"/>
  <c r="J29" i="45"/>
  <c r="Q29" i="45" s="1"/>
  <c r="R29" i="45" s="1"/>
  <c r="M11" i="45"/>
  <c r="F3" i="45" s="1"/>
  <c r="J15" i="45"/>
  <c r="P23" i="45"/>
  <c r="Q12" i="45"/>
  <c r="P30" i="45"/>
  <c r="I13" i="45"/>
  <c r="J21" i="45"/>
  <c r="AB17" i="44"/>
  <c r="U7" i="44"/>
  <c r="M11" i="44"/>
  <c r="H7" i="44"/>
  <c r="K8" i="44"/>
  <c r="E13" i="44"/>
  <c r="K18" i="44"/>
  <c r="E28" i="44"/>
  <c r="K10" i="44"/>
  <c r="K21" i="44"/>
  <c r="K7" i="44"/>
  <c r="E20" i="44"/>
  <c r="H22" i="44"/>
  <c r="H22" i="26" s="1"/>
  <c r="E29" i="44"/>
  <c r="E24" i="44"/>
  <c r="K15" i="44"/>
  <c r="D9" i="44"/>
  <c r="E46" i="25" s="1"/>
  <c r="E52" i="25" s="1"/>
  <c r="E35" i="47" l="1"/>
  <c r="D36" i="47"/>
  <c r="R19" i="45"/>
  <c r="W19" i="45"/>
  <c r="E4" i="45"/>
  <c r="N14" i="45"/>
  <c r="F2" i="45"/>
  <c r="J44" i="45"/>
  <c r="E2" i="45"/>
  <c r="E5" i="45" s="1"/>
  <c r="E6" i="45" s="1"/>
  <c r="L15" i="44"/>
  <c r="M15" i="44" s="1"/>
  <c r="N22" i="45"/>
  <c r="K22" i="45"/>
  <c r="N21" i="45"/>
  <c r="N23" i="45"/>
  <c r="K23" i="45"/>
  <c r="Q21" i="45"/>
  <c r="W21" i="45" s="1"/>
  <c r="K21" i="45"/>
  <c r="H10" i="26"/>
  <c r="R22" i="45"/>
  <c r="E14" i="26"/>
  <c r="L14" i="26" s="1"/>
  <c r="E13" i="26"/>
  <c r="L14" i="44"/>
  <c r="M14" i="44" s="1"/>
  <c r="L18" i="44"/>
  <c r="M18" i="44" s="1"/>
  <c r="E18" i="26"/>
  <c r="L29" i="44"/>
  <c r="M29" i="44" s="1"/>
  <c r="E29" i="26"/>
  <c r="L8" i="44"/>
  <c r="M8" i="44" s="1"/>
  <c r="E8" i="26"/>
  <c r="G12" i="44"/>
  <c r="G16" i="44" s="1"/>
  <c r="G17" i="44" s="1"/>
  <c r="L24" i="44"/>
  <c r="E24" i="26"/>
  <c r="L20" i="44"/>
  <c r="M20" i="44" s="1"/>
  <c r="E20" i="26"/>
  <c r="L28" i="44"/>
  <c r="M28" i="44" s="1"/>
  <c r="E28" i="26"/>
  <c r="L7" i="44"/>
  <c r="M7" i="44" s="1"/>
  <c r="H7" i="26"/>
  <c r="H9" i="26" s="1"/>
  <c r="L21" i="44"/>
  <c r="M21" i="44" s="1"/>
  <c r="L10" i="44"/>
  <c r="M10" i="44" s="1"/>
  <c r="L22" i="44"/>
  <c r="M22" i="44" s="1"/>
  <c r="K19" i="45"/>
  <c r="I15" i="44"/>
  <c r="N12" i="45"/>
  <c r="N19" i="45"/>
  <c r="K12" i="45"/>
  <c r="Q10" i="45"/>
  <c r="J13" i="45"/>
  <c r="K13" i="45" s="1"/>
  <c r="K11" i="45"/>
  <c r="L17" i="45"/>
  <c r="L18" i="45" s="1"/>
  <c r="M13" i="45"/>
  <c r="I17" i="45"/>
  <c r="P13" i="45"/>
  <c r="R12" i="45"/>
  <c r="Q11" i="45"/>
  <c r="R11" i="45" s="1"/>
  <c r="N11" i="45"/>
  <c r="Q14" i="45"/>
  <c r="W14" i="45" s="1"/>
  <c r="K14" i="45"/>
  <c r="K16" i="45"/>
  <c r="AA10" i="45"/>
  <c r="M44" i="45"/>
  <c r="Q15" i="45"/>
  <c r="K15" i="45"/>
  <c r="N16" i="45"/>
  <c r="N15" i="45"/>
  <c r="H43" i="44"/>
  <c r="E43" i="44"/>
  <c r="I13" i="44"/>
  <c r="I18" i="44"/>
  <c r="F11" i="44"/>
  <c r="E12" i="44"/>
  <c r="L9" i="44"/>
  <c r="M9" i="44" s="1"/>
  <c r="O9" i="44" s="1"/>
  <c r="I14" i="44"/>
  <c r="D12" i="44"/>
  <c r="K9" i="44"/>
  <c r="F15" i="44"/>
  <c r="F13" i="44"/>
  <c r="L13" i="44"/>
  <c r="F14" i="44"/>
  <c r="I11" i="44"/>
  <c r="F18" i="44"/>
  <c r="I10" i="44"/>
  <c r="R10" i="45" l="1"/>
  <c r="U10" i="45" s="1"/>
  <c r="W10" i="45"/>
  <c r="D46" i="20"/>
  <c r="D47" i="25"/>
  <c r="D53" i="25" s="1"/>
  <c r="R15" i="45"/>
  <c r="W15" i="45"/>
  <c r="O13" i="44"/>
  <c r="R21" i="45"/>
  <c r="H12" i="44"/>
  <c r="H16" i="44" s="1"/>
  <c r="I16" i="44" s="1"/>
  <c r="Q23" i="44"/>
  <c r="Q12" i="44"/>
  <c r="J17" i="45"/>
  <c r="K17" i="45" s="1"/>
  <c r="Q13" i="45"/>
  <c r="W13" i="45" s="1"/>
  <c r="P17" i="45"/>
  <c r="I18" i="45"/>
  <c r="M17" i="45"/>
  <c r="N13" i="45"/>
  <c r="U13" i="45" s="1"/>
  <c r="R14" i="45"/>
  <c r="L20" i="45"/>
  <c r="L24" i="45" s="1"/>
  <c r="L26" i="45" s="1"/>
  <c r="L28" i="45" s="1"/>
  <c r="AC18" i="45"/>
  <c r="AC19" i="45" s="1"/>
  <c r="M18" i="45"/>
  <c r="D16" i="44"/>
  <c r="K12" i="44"/>
  <c r="F12" i="44"/>
  <c r="E16" i="44"/>
  <c r="Q17" i="44"/>
  <c r="M13" i="44"/>
  <c r="W17" i="44"/>
  <c r="W18" i="44" s="1"/>
  <c r="G19" i="44"/>
  <c r="G23" i="44" s="1"/>
  <c r="G25" i="44" s="1"/>
  <c r="G27" i="44" s="1"/>
  <c r="H17" i="44"/>
  <c r="N17" i="45" l="1"/>
  <c r="F4" i="45"/>
  <c r="F5" i="45" s="1"/>
  <c r="F9" i="45" s="1"/>
  <c r="R13" i="45"/>
  <c r="L12" i="44"/>
  <c r="M12" i="44" s="1"/>
  <c r="I12" i="44"/>
  <c r="O12" i="44" s="1"/>
  <c r="J18" i="45"/>
  <c r="K18" i="45" s="1"/>
  <c r="E46" i="20"/>
  <c r="F42" i="20" s="1"/>
  <c r="G42" i="20" s="1"/>
  <c r="G47" i="25"/>
  <c r="G53" i="25" s="1"/>
  <c r="L39" i="25" s="1"/>
  <c r="Q17" i="45"/>
  <c r="R17" i="45" s="1"/>
  <c r="I20" i="45"/>
  <c r="AB18" i="45"/>
  <c r="AB19" i="45" s="1"/>
  <c r="P18" i="45"/>
  <c r="M20" i="45"/>
  <c r="N18" i="45"/>
  <c r="K16" i="44"/>
  <c r="D17" i="44"/>
  <c r="E47" i="25" s="1"/>
  <c r="E53" i="25" s="1"/>
  <c r="L16" i="44"/>
  <c r="M16" i="44" s="1"/>
  <c r="F16" i="44"/>
  <c r="E17" i="44"/>
  <c r="H19" i="44"/>
  <c r="I17" i="44"/>
  <c r="Q18" i="45" l="1"/>
  <c r="J20" i="45"/>
  <c r="Q20" i="45" s="1"/>
  <c r="R20" i="45" s="1"/>
  <c r="N20" i="45"/>
  <c r="M24" i="45"/>
  <c r="I24" i="45"/>
  <c r="P20" i="45"/>
  <c r="K17" i="44"/>
  <c r="V17" i="44"/>
  <c r="V18" i="44" s="1"/>
  <c r="D19" i="44"/>
  <c r="I19" i="44"/>
  <c r="H23" i="44"/>
  <c r="F17" i="44"/>
  <c r="O17" i="44" s="1"/>
  <c r="P17" i="44" s="1"/>
  <c r="L17" i="44"/>
  <c r="M17" i="44" s="1"/>
  <c r="E19" i="44"/>
  <c r="R18" i="45" l="1"/>
  <c r="E7" i="45"/>
  <c r="E9" i="45" s="1"/>
  <c r="K20" i="45"/>
  <c r="J24" i="45"/>
  <c r="Q24" i="45" s="1"/>
  <c r="R24" i="45" s="1"/>
  <c r="I26" i="45"/>
  <c r="P24" i="45"/>
  <c r="M26" i="45"/>
  <c r="N24" i="45"/>
  <c r="E23" i="44"/>
  <c r="L19" i="44"/>
  <c r="M19" i="44" s="1"/>
  <c r="F19" i="44"/>
  <c r="D23" i="44"/>
  <c r="K19" i="44"/>
  <c r="H25" i="44"/>
  <c r="I23" i="44"/>
  <c r="K24" i="45" l="1"/>
  <c r="J26" i="45"/>
  <c r="J28" i="45" s="1"/>
  <c r="I28" i="45"/>
  <c r="P28" i="45" s="1"/>
  <c r="P26" i="45"/>
  <c r="M28" i="45"/>
  <c r="N28" i="45" s="1"/>
  <c r="N26" i="45"/>
  <c r="E25" i="44"/>
  <c r="L23" i="44"/>
  <c r="M23" i="44" s="1"/>
  <c r="F23" i="44"/>
  <c r="O23" i="44" s="1"/>
  <c r="P23" i="44" s="1"/>
  <c r="H27" i="44"/>
  <c r="I27" i="44" s="1"/>
  <c r="I25" i="44"/>
  <c r="D25" i="44"/>
  <c r="K23" i="44"/>
  <c r="Q26" i="45" l="1"/>
  <c r="R26" i="45" s="1"/>
  <c r="K26" i="45"/>
  <c r="Q28" i="45"/>
  <c r="R28" i="45" s="1"/>
  <c r="K28" i="45"/>
  <c r="L25" i="44"/>
  <c r="M25" i="44" s="1"/>
  <c r="E27" i="44"/>
  <c r="F25" i="44"/>
  <c r="K25" i="44"/>
  <c r="D27" i="44"/>
  <c r="K27" i="44" s="1"/>
  <c r="F27" i="44" l="1"/>
  <c r="L27" i="44"/>
  <c r="M27" i="44" s="1"/>
  <c r="I49" i="21" l="1"/>
  <c r="F12" i="29" l="1"/>
  <c r="C12" i="29"/>
  <c r="F11" i="27" l="1"/>
  <c r="AG81" i="43" l="1"/>
  <c r="AJ57" i="43"/>
  <c r="AG55" i="43"/>
  <c r="Z48" i="43"/>
  <c r="J46" i="43"/>
  <c r="AS17" i="43" s="1"/>
  <c r="I46" i="43"/>
  <c r="J45" i="43"/>
  <c r="I45" i="43"/>
  <c r="J44" i="43"/>
  <c r="I44" i="43"/>
  <c r="J43" i="43"/>
  <c r="AS16" i="43" s="1"/>
  <c r="I43" i="43"/>
  <c r="J42" i="43"/>
  <c r="I42" i="43"/>
  <c r="J41" i="43"/>
  <c r="AS19" i="43" s="1"/>
  <c r="M19" i="43" s="1"/>
  <c r="I41" i="43"/>
  <c r="J40" i="43"/>
  <c r="AS14" i="43" s="1"/>
  <c r="I40" i="43"/>
  <c r="F40" i="43"/>
  <c r="Y39" i="43"/>
  <c r="X39" i="43"/>
  <c r="X48" i="43" s="1"/>
  <c r="W39" i="43"/>
  <c r="AP22" i="43" s="1"/>
  <c r="V39" i="43"/>
  <c r="AO22" i="43" s="1"/>
  <c r="J39" i="43"/>
  <c r="AS23" i="43" s="1"/>
  <c r="I39" i="43"/>
  <c r="F39" i="43"/>
  <c r="J38" i="43"/>
  <c r="I38" i="43"/>
  <c r="F38" i="43"/>
  <c r="J37" i="43"/>
  <c r="AS13" i="43" s="1"/>
  <c r="AU13" i="43" s="1"/>
  <c r="I37" i="43"/>
  <c r="L23" i="43"/>
  <c r="K23" i="43"/>
  <c r="J23" i="43"/>
  <c r="I23" i="43"/>
  <c r="AS22" i="43"/>
  <c r="Z21" i="43" s="1"/>
  <c r="Y22" i="43"/>
  <c r="X22" i="43"/>
  <c r="W22" i="43"/>
  <c r="AR21" i="43"/>
  <c r="Y20" i="43" s="1"/>
  <c r="AQ21" i="43"/>
  <c r="X20" i="43" s="1"/>
  <c r="AP21" i="43"/>
  <c r="AO21" i="43"/>
  <c r="AS20" i="43"/>
  <c r="AU20" i="43" s="1"/>
  <c r="L20" i="43"/>
  <c r="R20" i="43" s="1"/>
  <c r="K20" i="43"/>
  <c r="J20" i="43"/>
  <c r="I20" i="43"/>
  <c r="Y19" i="43"/>
  <c r="X19" i="43"/>
  <c r="W19" i="43"/>
  <c r="L19" i="43"/>
  <c r="R19" i="43" s="1"/>
  <c r="K19" i="43"/>
  <c r="Q19" i="43" s="1"/>
  <c r="J19" i="43"/>
  <c r="P19" i="43" s="1"/>
  <c r="I19" i="43"/>
  <c r="AR18" i="43"/>
  <c r="Y17" i="43" s="1"/>
  <c r="AQ18" i="43"/>
  <c r="AP18" i="43"/>
  <c r="W17" i="43" s="1"/>
  <c r="AO18" i="43"/>
  <c r="Y18" i="43"/>
  <c r="X18" i="43"/>
  <c r="W18" i="43"/>
  <c r="L17" i="43"/>
  <c r="K17" i="43"/>
  <c r="Q17" i="43" s="1"/>
  <c r="J17" i="43"/>
  <c r="I17" i="43"/>
  <c r="Y16" i="43"/>
  <c r="X16" i="43"/>
  <c r="W16" i="43"/>
  <c r="L16" i="43"/>
  <c r="R16" i="43" s="1"/>
  <c r="K16" i="43"/>
  <c r="Q16" i="43" s="1"/>
  <c r="J16" i="43"/>
  <c r="P16" i="43" s="1"/>
  <c r="I16" i="43"/>
  <c r="AS15" i="43"/>
  <c r="M15" i="43" s="1"/>
  <c r="S15" i="43" s="1"/>
  <c r="Y15" i="43"/>
  <c r="X15" i="43"/>
  <c r="W15" i="43"/>
  <c r="L15" i="43"/>
  <c r="R15" i="43" s="1"/>
  <c r="K15" i="43"/>
  <c r="Q15" i="43" s="1"/>
  <c r="J15" i="43"/>
  <c r="P15" i="43" s="1"/>
  <c r="I15" i="43"/>
  <c r="Y14" i="43"/>
  <c r="X14" i="43"/>
  <c r="W14" i="43"/>
  <c r="L14" i="43"/>
  <c r="R14" i="43" s="1"/>
  <c r="K14" i="43"/>
  <c r="J14" i="43"/>
  <c r="I14" i="43"/>
  <c r="Y13" i="43"/>
  <c r="X13" i="43"/>
  <c r="W13" i="43"/>
  <c r="L13" i="43"/>
  <c r="R13" i="43" s="1"/>
  <c r="K13" i="43"/>
  <c r="Q13" i="43" s="1"/>
  <c r="J13" i="43"/>
  <c r="P13" i="43" s="1"/>
  <c r="I13" i="43"/>
  <c r="Y12" i="43"/>
  <c r="X12" i="43"/>
  <c r="W12" i="43"/>
  <c r="Y11" i="43"/>
  <c r="X11" i="43"/>
  <c r="W11" i="43"/>
  <c r="AS10" i="43"/>
  <c r="AR10" i="43"/>
  <c r="L10" i="43" s="1"/>
  <c r="AQ10" i="43"/>
  <c r="K10" i="43" s="1"/>
  <c r="Q10" i="43" s="1"/>
  <c r="AP10" i="43"/>
  <c r="J10" i="43" s="1"/>
  <c r="AO10" i="43"/>
  <c r="I10" i="43" s="1"/>
  <c r="AS9" i="43"/>
  <c r="AR9" i="43"/>
  <c r="AQ9" i="43"/>
  <c r="AP9" i="43"/>
  <c r="J9" i="43" s="1"/>
  <c r="AO9" i="43"/>
  <c r="I9" i="43" s="1"/>
  <c r="AR8" i="43"/>
  <c r="L8" i="43" s="1"/>
  <c r="AQ8" i="43"/>
  <c r="K8" i="43" s="1"/>
  <c r="AP8" i="43"/>
  <c r="J8" i="43" s="1"/>
  <c r="AO8" i="43"/>
  <c r="B2" i="43"/>
  <c r="R23" i="43" l="1"/>
  <c r="R10" i="43"/>
  <c r="P14" i="43"/>
  <c r="R17" i="43"/>
  <c r="P20" i="43"/>
  <c r="S19" i="43"/>
  <c r="P9" i="43"/>
  <c r="Q14" i="43"/>
  <c r="Q20" i="43"/>
  <c r="P23" i="43"/>
  <c r="P10" i="43"/>
  <c r="P17" i="43"/>
  <c r="Q23" i="43"/>
  <c r="I21" i="43"/>
  <c r="W48" i="43"/>
  <c r="C39" i="43" s="1"/>
  <c r="AU9" i="43"/>
  <c r="M22" i="43"/>
  <c r="AT9" i="43"/>
  <c r="Z14" i="43"/>
  <c r="V48" i="43"/>
  <c r="B41" i="43" s="1"/>
  <c r="AQ11" i="43"/>
  <c r="K11" i="43" s="1"/>
  <c r="I18" i="43"/>
  <c r="K21" i="43"/>
  <c r="Q21" i="43" s="1"/>
  <c r="L21" i="43"/>
  <c r="J21" i="43"/>
  <c r="M16" i="43"/>
  <c r="Z15" i="43"/>
  <c r="AU23" i="43"/>
  <c r="Z22" i="43"/>
  <c r="AO24" i="43"/>
  <c r="AO25" i="43" s="1"/>
  <c r="AU22" i="43"/>
  <c r="J22" i="43"/>
  <c r="AP24" i="43"/>
  <c r="W23" i="43" s="1"/>
  <c r="W21" i="43"/>
  <c r="AT10" i="43"/>
  <c r="N19" i="43"/>
  <c r="K18" i="43"/>
  <c r="AT8" i="43"/>
  <c r="L18" i="43"/>
  <c r="R18" i="43" s="1"/>
  <c r="F41" i="43"/>
  <c r="I8" i="43"/>
  <c r="P8" i="43" s="1"/>
  <c r="AU8" i="43"/>
  <c r="M9" i="43"/>
  <c r="AR22" i="43"/>
  <c r="AR24" i="43" s="1"/>
  <c r="Y48" i="43"/>
  <c r="J18" i="43"/>
  <c r="P18" i="43" s="1"/>
  <c r="AS21" i="43"/>
  <c r="AU21" i="43" s="1"/>
  <c r="AS24" i="43"/>
  <c r="AU24" i="43" s="1"/>
  <c r="B40" i="43"/>
  <c r="AG85" i="43"/>
  <c r="AS12" i="43" s="1"/>
  <c r="AS11" i="43" s="1"/>
  <c r="AT14" i="43"/>
  <c r="Z13" i="43"/>
  <c r="AS18" i="43"/>
  <c r="AU14" i="43"/>
  <c r="M14" i="43"/>
  <c r="S14" i="43" s="1"/>
  <c r="M17" i="43"/>
  <c r="S17" i="43" s="1"/>
  <c r="Z16" i="43"/>
  <c r="AU17" i="43"/>
  <c r="AT17" i="43"/>
  <c r="D38" i="43"/>
  <c r="D39" i="43"/>
  <c r="D40" i="43"/>
  <c r="D41" i="43"/>
  <c r="O16" i="43"/>
  <c r="N15" i="43"/>
  <c r="O15" i="43"/>
  <c r="AO11" i="43"/>
  <c r="I11" i="43" s="1"/>
  <c r="AT16" i="43"/>
  <c r="AU16" i="43"/>
  <c r="M10" i="43"/>
  <c r="L9" i="43"/>
  <c r="R9" i="43" s="1"/>
  <c r="AU10" i="43"/>
  <c r="AR11" i="43"/>
  <c r="L11" i="43" s="1"/>
  <c r="AT13" i="43"/>
  <c r="X17" i="43"/>
  <c r="W20" i="43"/>
  <c r="AQ22" i="43"/>
  <c r="AP11" i="43"/>
  <c r="J11" i="43" s="1"/>
  <c r="AT19" i="43"/>
  <c r="Z19" i="43"/>
  <c r="M20" i="43"/>
  <c r="AT15" i="43"/>
  <c r="K9" i="43"/>
  <c r="Q9" i="43" s="1"/>
  <c r="AU15" i="43"/>
  <c r="Z18" i="43"/>
  <c r="I22" i="43"/>
  <c r="I24" i="43" s="1"/>
  <c r="AT20" i="43"/>
  <c r="Z12" i="43"/>
  <c r="M13" i="43"/>
  <c r="S13" i="43" s="1"/>
  <c r="O19" i="43"/>
  <c r="AU19" i="43"/>
  <c r="M23" i="43"/>
  <c r="AT23" i="43"/>
  <c r="M8" i="43"/>
  <c r="AT21" i="43" l="1"/>
  <c r="Q18" i="43"/>
  <c r="Q11" i="43"/>
  <c r="R11" i="43"/>
  <c r="Z20" i="43"/>
  <c r="S20" i="43"/>
  <c r="O9" i="43"/>
  <c r="S9" i="43"/>
  <c r="S8" i="43"/>
  <c r="J12" i="43"/>
  <c r="P11" i="43"/>
  <c r="S10" i="43"/>
  <c r="N16" i="43"/>
  <c r="S16" i="43"/>
  <c r="S23" i="43"/>
  <c r="P21" i="43"/>
  <c r="S22" i="43"/>
  <c r="J24" i="43"/>
  <c r="P24" i="43" s="1"/>
  <c r="P22" i="43"/>
  <c r="R21" i="43"/>
  <c r="R8" i="43"/>
  <c r="Q8" i="43"/>
  <c r="I12" i="43"/>
  <c r="Z23" i="43"/>
  <c r="AT12" i="43"/>
  <c r="AP25" i="43"/>
  <c r="C41" i="43"/>
  <c r="C40" i="43"/>
  <c r="C38" i="43"/>
  <c r="K12" i="43"/>
  <c r="L12" i="43"/>
  <c r="R12" i="43" s="1"/>
  <c r="AA48" i="43"/>
  <c r="B39" i="43"/>
  <c r="B38" i="43"/>
  <c r="O22" i="43"/>
  <c r="AT24" i="43"/>
  <c r="N9" i="43"/>
  <c r="AU12" i="43"/>
  <c r="AS25" i="43"/>
  <c r="AU25" i="43" s="1"/>
  <c r="AT22" i="43"/>
  <c r="L22" i="43"/>
  <c r="R22" i="43" s="1"/>
  <c r="Z11" i="43"/>
  <c r="Y21" i="43"/>
  <c r="I25" i="43"/>
  <c r="AT18" i="43"/>
  <c r="Z17" i="43"/>
  <c r="AU18" i="43"/>
  <c r="O20" i="43"/>
  <c r="N20" i="43"/>
  <c r="O10" i="43"/>
  <c r="N10" i="43"/>
  <c r="O17" i="43"/>
  <c r="N17" i="43"/>
  <c r="M21" i="43"/>
  <c r="S21" i="43" s="1"/>
  <c r="N8" i="43"/>
  <c r="O8" i="43"/>
  <c r="N14" i="43"/>
  <c r="O14" i="43"/>
  <c r="M11" i="43"/>
  <c r="AU11" i="43"/>
  <c r="AT11" i="43"/>
  <c r="Y23" i="43"/>
  <c r="AR25" i="43"/>
  <c r="AQ24" i="43"/>
  <c r="K22" i="43"/>
  <c r="X21" i="43"/>
  <c r="E39" i="43"/>
  <c r="E40" i="43"/>
  <c r="E38" i="43"/>
  <c r="E41" i="43"/>
  <c r="O23" i="43"/>
  <c r="N23" i="43"/>
  <c r="M24" i="43"/>
  <c r="S24" i="43" s="1"/>
  <c r="M18" i="43"/>
  <c r="S18" i="43" s="1"/>
  <c r="O13" i="43"/>
  <c r="N13" i="43"/>
  <c r="K24" i="43" l="1"/>
  <c r="Q22" i="43"/>
  <c r="P12" i="43"/>
  <c r="P25" i="43" s="1"/>
  <c r="J25" i="43"/>
  <c r="Q12" i="43"/>
  <c r="M12" i="43"/>
  <c r="S12" i="43" s="1"/>
  <c r="S25" i="43" s="1"/>
  <c r="S11" i="43"/>
  <c r="AT25" i="43"/>
  <c r="L24" i="43"/>
  <c r="N22" i="43"/>
  <c r="O21" i="43"/>
  <c r="N21" i="43"/>
  <c r="X23" i="43"/>
  <c r="AQ25" i="43"/>
  <c r="N18" i="43"/>
  <c r="O18" i="43"/>
  <c r="N11" i="43"/>
  <c r="O11" i="43"/>
  <c r="O24" i="43"/>
  <c r="N24" i="43"/>
  <c r="M25" i="43" l="1"/>
  <c r="K25" i="43"/>
  <c r="Q24" i="43"/>
  <c r="Q25" i="43" s="1"/>
  <c r="L25" i="43"/>
  <c r="R24" i="43"/>
  <c r="R25" i="43" s="1"/>
  <c r="O12" i="43"/>
  <c r="N12" i="43"/>
  <c r="N25" i="43"/>
  <c r="O25" i="43"/>
  <c r="V27" i="43" s="1"/>
  <c r="V28" i="43" s="1"/>
  <c r="C14" i="42" l="1"/>
  <c r="N17" i="42"/>
  <c r="N10" i="42"/>
  <c r="F22" i="42"/>
  <c r="F21" i="42"/>
  <c r="F20" i="42"/>
  <c r="F18" i="42"/>
  <c r="F15" i="42"/>
  <c r="F14" i="42"/>
  <c r="F12" i="42"/>
  <c r="F11" i="42"/>
  <c r="F9" i="42"/>
  <c r="F8" i="42"/>
  <c r="F7" i="42"/>
  <c r="C22" i="42"/>
  <c r="C21" i="42"/>
  <c r="C20" i="42"/>
  <c r="C18" i="42"/>
  <c r="C15" i="42"/>
  <c r="C11" i="42"/>
  <c r="C12" i="42"/>
  <c r="C9" i="42"/>
  <c r="C8" i="42"/>
  <c r="C7" i="42"/>
  <c r="F12" i="37"/>
  <c r="J22" i="40"/>
  <c r="G22" i="40"/>
  <c r="D22" i="40"/>
  <c r="K22" i="40" s="1"/>
  <c r="L22" i="40" s="1"/>
  <c r="J21" i="40"/>
  <c r="G21" i="40"/>
  <c r="D21" i="40"/>
  <c r="K21" i="40" s="1"/>
  <c r="J20" i="40"/>
  <c r="G20" i="40"/>
  <c r="D20" i="40"/>
  <c r="K20" i="40" s="1"/>
  <c r="J18" i="40"/>
  <c r="G18" i="40"/>
  <c r="D18" i="40"/>
  <c r="K18" i="40" s="1"/>
  <c r="L18" i="40" s="1"/>
  <c r="J15" i="40"/>
  <c r="G15" i="40"/>
  <c r="D15" i="40"/>
  <c r="E15" i="40" s="1"/>
  <c r="J14" i="40"/>
  <c r="G14" i="40"/>
  <c r="G32" i="40" s="1"/>
  <c r="D14" i="40"/>
  <c r="K14" i="40" s="1"/>
  <c r="K12" i="40"/>
  <c r="L12" i="40" s="1"/>
  <c r="J12" i="40"/>
  <c r="G12" i="40"/>
  <c r="G29" i="40" s="1"/>
  <c r="D12" i="40"/>
  <c r="J11" i="40"/>
  <c r="G11" i="40"/>
  <c r="D11" i="40"/>
  <c r="E11" i="40" s="1"/>
  <c r="F10" i="40"/>
  <c r="F13" i="40" s="1"/>
  <c r="F16" i="40" s="1"/>
  <c r="D10" i="40"/>
  <c r="C10" i="40"/>
  <c r="C13" i="40" s="1"/>
  <c r="J9" i="40"/>
  <c r="G9" i="40"/>
  <c r="D9" i="40"/>
  <c r="K9" i="40" s="1"/>
  <c r="L9" i="40" s="1"/>
  <c r="K8" i="40"/>
  <c r="L8" i="40" s="1"/>
  <c r="J8" i="40"/>
  <c r="G8" i="40"/>
  <c r="D8" i="40"/>
  <c r="J7" i="40"/>
  <c r="G7" i="40"/>
  <c r="D7" i="40"/>
  <c r="K7" i="40" s="1"/>
  <c r="L7" i="40" s="1"/>
  <c r="C58" i="39"/>
  <c r="C59" i="39" s="1"/>
  <c r="D52" i="39"/>
  <c r="D55" i="39" s="1"/>
  <c r="C52" i="39"/>
  <c r="C55" i="39" s="1"/>
  <c r="K51" i="39"/>
  <c r="L51" i="39" s="1"/>
  <c r="M51" i="39" s="1"/>
  <c r="K50" i="39"/>
  <c r="L50" i="39" s="1"/>
  <c r="M50" i="39" s="1"/>
  <c r="L49" i="39"/>
  <c r="M49" i="39" s="1"/>
  <c r="K49" i="39"/>
  <c r="K48" i="39"/>
  <c r="L48" i="39" s="1"/>
  <c r="M48" i="39" s="1"/>
  <c r="L47" i="39"/>
  <c r="M47" i="39" s="1"/>
  <c r="K47" i="39"/>
  <c r="K46" i="39"/>
  <c r="L46" i="39" s="1"/>
  <c r="M46" i="39" s="1"/>
  <c r="K45" i="39"/>
  <c r="L45" i="39" s="1"/>
  <c r="M45" i="39" s="1"/>
  <c r="L44" i="39"/>
  <c r="M44" i="39" s="1"/>
  <c r="K44" i="39"/>
  <c r="K43" i="39"/>
  <c r="L43" i="39" s="1"/>
  <c r="M43" i="39" s="1"/>
  <c r="K42" i="39"/>
  <c r="L42" i="39" s="1"/>
  <c r="M42" i="39" s="1"/>
  <c r="K41" i="39"/>
  <c r="L41" i="39" s="1"/>
  <c r="M41" i="39" s="1"/>
  <c r="M40" i="39"/>
  <c r="L40" i="39"/>
  <c r="K40" i="39"/>
  <c r="K39" i="39"/>
  <c r="L39" i="39" s="1"/>
  <c r="M39" i="39" s="1"/>
  <c r="K38" i="39"/>
  <c r="L38" i="39" s="1"/>
  <c r="M38" i="39" s="1"/>
  <c r="B2" i="39"/>
  <c r="C64" i="38"/>
  <c r="C59" i="38"/>
  <c r="AA58" i="38"/>
  <c r="Z58" i="38"/>
  <c r="I58" i="38"/>
  <c r="H58" i="38"/>
  <c r="E58" i="38"/>
  <c r="F58" i="38" s="1"/>
  <c r="AL57" i="38"/>
  <c r="AK57" i="38"/>
  <c r="AA57" i="38"/>
  <c r="Z57" i="38"/>
  <c r="I57" i="38"/>
  <c r="H57" i="38"/>
  <c r="AL56" i="38"/>
  <c r="AK56" i="38"/>
  <c r="AA56" i="38"/>
  <c r="Z56" i="38"/>
  <c r="J56" i="38"/>
  <c r="D56" i="38"/>
  <c r="D61" i="38" s="1"/>
  <c r="C56" i="38"/>
  <c r="AL55" i="38"/>
  <c r="AK55" i="38"/>
  <c r="AA55" i="38"/>
  <c r="Z55" i="38"/>
  <c r="AL54" i="38"/>
  <c r="AK54" i="38"/>
  <c r="AA54" i="38"/>
  <c r="Z54" i="38"/>
  <c r="AL53" i="38"/>
  <c r="AK53" i="38"/>
  <c r="AF53" i="38"/>
  <c r="AA53" i="38"/>
  <c r="Z53" i="38"/>
  <c r="AL52" i="38"/>
  <c r="AK52" i="38"/>
  <c r="AF52" i="38"/>
  <c r="AA52" i="38"/>
  <c r="Z52" i="38"/>
  <c r="AL51" i="38"/>
  <c r="AK51" i="38"/>
  <c r="AF51" i="38"/>
  <c r="AA51" i="38"/>
  <c r="Z51" i="38"/>
  <c r="AL50" i="38"/>
  <c r="AK50" i="38"/>
  <c r="AF50" i="38"/>
  <c r="AA50" i="38"/>
  <c r="Z50" i="38"/>
  <c r="AL49" i="38"/>
  <c r="AK49" i="38"/>
  <c r="AF49" i="38"/>
  <c r="AA49" i="38"/>
  <c r="Z49" i="38"/>
  <c r="S49" i="38"/>
  <c r="I49" i="38"/>
  <c r="AL48" i="38"/>
  <c r="AK48" i="38"/>
  <c r="AF48" i="38"/>
  <c r="AA48" i="38"/>
  <c r="Z48" i="38"/>
  <c r="S48" i="38"/>
  <c r="I48" i="38"/>
  <c r="AL47" i="38"/>
  <c r="AK47" i="38"/>
  <c r="AF47" i="38"/>
  <c r="AA47" i="38"/>
  <c r="Z47" i="38"/>
  <c r="S47" i="38"/>
  <c r="I47" i="38" s="1"/>
  <c r="AL46" i="38"/>
  <c r="AK46" i="38"/>
  <c r="AF46" i="38"/>
  <c r="AA46" i="38"/>
  <c r="Z46" i="38"/>
  <c r="S46" i="38"/>
  <c r="I46" i="38"/>
  <c r="AL45" i="38"/>
  <c r="AK45" i="38"/>
  <c r="AF45" i="38"/>
  <c r="AA45" i="38"/>
  <c r="Z45" i="38"/>
  <c r="S45" i="38"/>
  <c r="I45" i="38"/>
  <c r="AL44" i="38"/>
  <c r="AK44" i="38"/>
  <c r="AF44" i="38"/>
  <c r="AA44" i="38"/>
  <c r="Z44" i="38"/>
  <c r="S44" i="38"/>
  <c r="I44" i="38" s="1"/>
  <c r="S35" i="38"/>
  <c r="R35" i="38"/>
  <c r="S36" i="38" s="1"/>
  <c r="U33" i="38"/>
  <c r="S33" i="38"/>
  <c r="S32" i="38"/>
  <c r="B2" i="38"/>
  <c r="N15" i="37"/>
  <c r="N8" i="37"/>
  <c r="C13" i="37"/>
  <c r="C12" i="37"/>
  <c r="C11" i="37"/>
  <c r="J20" i="36"/>
  <c r="G20" i="36"/>
  <c r="D20" i="36"/>
  <c r="K20" i="36" s="1"/>
  <c r="L20" i="36" s="1"/>
  <c r="K19" i="36"/>
  <c r="L19" i="36" s="1"/>
  <c r="J19" i="36"/>
  <c r="G19" i="36"/>
  <c r="D19" i="36"/>
  <c r="J18" i="36"/>
  <c r="G18" i="36"/>
  <c r="D18" i="36"/>
  <c r="K18" i="36" s="1"/>
  <c r="J16" i="36"/>
  <c r="G16" i="36"/>
  <c r="D16" i="36"/>
  <c r="K16" i="36" s="1"/>
  <c r="L16" i="36" s="1"/>
  <c r="J13" i="36"/>
  <c r="G13" i="36"/>
  <c r="D13" i="36"/>
  <c r="K13" i="36" s="1"/>
  <c r="J12" i="36"/>
  <c r="G12" i="36"/>
  <c r="K12" i="36" s="1"/>
  <c r="L12" i="36" s="1"/>
  <c r="D12" i="36"/>
  <c r="J11" i="36"/>
  <c r="G11" i="36"/>
  <c r="D11" i="36"/>
  <c r="K11" i="36" s="1"/>
  <c r="F10" i="36"/>
  <c r="F14" i="36" s="1"/>
  <c r="C10" i="36"/>
  <c r="C14" i="36" s="1"/>
  <c r="J9" i="36"/>
  <c r="G9" i="36"/>
  <c r="D9" i="36"/>
  <c r="K9" i="36" s="1"/>
  <c r="F8" i="36"/>
  <c r="C8" i="36"/>
  <c r="J8" i="36" s="1"/>
  <c r="J7" i="36"/>
  <c r="G7" i="36"/>
  <c r="G24" i="36" s="1"/>
  <c r="D7" i="36"/>
  <c r="K7" i="36" s="1"/>
  <c r="L7" i="36" s="1"/>
  <c r="F53" i="25"/>
  <c r="C33" i="19"/>
  <c r="K21" i="21"/>
  <c r="K22" i="21"/>
  <c r="K35" i="21"/>
  <c r="I35" i="21"/>
  <c r="L12" i="21" s="1"/>
  <c r="F39" i="21"/>
  <c r="H39" i="21" s="1"/>
  <c r="D44" i="21"/>
  <c r="D43" i="21"/>
  <c r="D42" i="21"/>
  <c r="E40" i="21"/>
  <c r="D41" i="21"/>
  <c r="D38" i="21"/>
  <c r="H38" i="21" s="1"/>
  <c r="D37" i="21"/>
  <c r="D36" i="21"/>
  <c r="H36" i="21" s="1"/>
  <c r="J9" i="42" l="1"/>
  <c r="F10" i="42"/>
  <c r="F13" i="42" s="1"/>
  <c r="H42" i="21"/>
  <c r="W25" i="21"/>
  <c r="X25" i="21" s="1"/>
  <c r="J20" i="42"/>
  <c r="J22" i="42"/>
  <c r="Q12" i="21"/>
  <c r="Y12" i="21" s="1"/>
  <c r="L21" i="21"/>
  <c r="C10" i="42"/>
  <c r="C13" i="42" s="1"/>
  <c r="C16" i="42" s="1"/>
  <c r="C17" i="42" s="1"/>
  <c r="L22" i="21"/>
  <c r="H45" i="21"/>
  <c r="H49" i="21" s="1"/>
  <c r="J15" i="42"/>
  <c r="J8" i="42"/>
  <c r="J18" i="42"/>
  <c r="J14" i="42"/>
  <c r="J12" i="42"/>
  <c r="J7" i="42"/>
  <c r="J21" i="42"/>
  <c r="C16" i="40"/>
  <c r="J13" i="40"/>
  <c r="L14" i="40"/>
  <c r="L20" i="40"/>
  <c r="Q23" i="40"/>
  <c r="E14" i="40"/>
  <c r="E22" i="40"/>
  <c r="F17" i="40"/>
  <c r="D32" i="40"/>
  <c r="K32" i="40" s="1"/>
  <c r="G10" i="40"/>
  <c r="H21" i="40" s="1"/>
  <c r="E21" i="40"/>
  <c r="D29" i="40"/>
  <c r="J10" i="40"/>
  <c r="K11" i="40"/>
  <c r="K15" i="40"/>
  <c r="L15" i="40" s="1"/>
  <c r="E18" i="40"/>
  <c r="E20" i="40"/>
  <c r="D13" i="40"/>
  <c r="E12" i="40"/>
  <c r="J12" i="37"/>
  <c r="H13" i="36"/>
  <c r="J14" i="36"/>
  <c r="H20" i="36"/>
  <c r="Q13" i="36"/>
  <c r="L13" i="36"/>
  <c r="L18" i="36"/>
  <c r="Q21" i="36"/>
  <c r="L9" i="36"/>
  <c r="Q10" i="36"/>
  <c r="L11" i="36"/>
  <c r="T11" i="36"/>
  <c r="F15" i="36"/>
  <c r="G8" i="36"/>
  <c r="H9" i="36" s="1"/>
  <c r="T12" i="36"/>
  <c r="U12" i="36" s="1"/>
  <c r="H12" i="36"/>
  <c r="D8" i="36"/>
  <c r="E19" i="36" s="1"/>
  <c r="E11" i="36"/>
  <c r="D24" i="36"/>
  <c r="L24" i="36" s="1"/>
  <c r="C15" i="36"/>
  <c r="J10" i="36"/>
  <c r="K11" i="21"/>
  <c r="K10" i="21"/>
  <c r="U10" i="21" s="1"/>
  <c r="V10" i="21" s="1"/>
  <c r="J10" i="21"/>
  <c r="K9" i="21"/>
  <c r="U9" i="21" s="1"/>
  <c r="V9" i="21" s="1"/>
  <c r="K13" i="21"/>
  <c r="U13" i="21" s="1"/>
  <c r="V13" i="21" s="1"/>
  <c r="K8" i="21"/>
  <c r="U8" i="21" s="1"/>
  <c r="V8" i="21" s="1"/>
  <c r="K7" i="21"/>
  <c r="U7" i="21" s="1"/>
  <c r="J7" i="21"/>
  <c r="K6" i="21"/>
  <c r="K5" i="21"/>
  <c r="H46" i="35"/>
  <c r="I45" i="35"/>
  <c r="I49" i="35" s="1"/>
  <c r="I51" i="35" s="1"/>
  <c r="I52" i="35" s="1"/>
  <c r="I54" i="35" s="1"/>
  <c r="I44" i="35"/>
  <c r="I43" i="35"/>
  <c r="I42" i="35"/>
  <c r="I41" i="35"/>
  <c r="I36" i="35"/>
  <c r="I39" i="35" s="1"/>
  <c r="J35" i="35"/>
  <c r="J31" i="35"/>
  <c r="J30" i="35"/>
  <c r="I25" i="35"/>
  <c r="I12" i="35"/>
  <c r="I47" i="35" s="1"/>
  <c r="W11" i="21" l="1"/>
  <c r="X11" i="21" s="1"/>
  <c r="L11" i="21"/>
  <c r="V7" i="21"/>
  <c r="K29" i="21"/>
  <c r="L29" i="21" s="1"/>
  <c r="L5" i="21"/>
  <c r="J10" i="42"/>
  <c r="K20" i="21"/>
  <c r="K23" i="21" s="1"/>
  <c r="F16" i="42"/>
  <c r="F17" i="42" s="1"/>
  <c r="F19" i="42" s="1"/>
  <c r="F23" i="42" s="1"/>
  <c r="F27" i="42" s="1"/>
  <c r="J13" i="42"/>
  <c r="Q13" i="40"/>
  <c r="L11" i="40"/>
  <c r="D16" i="40"/>
  <c r="E13" i="40"/>
  <c r="H11" i="40"/>
  <c r="C17" i="40"/>
  <c r="J16" i="40"/>
  <c r="K10" i="40"/>
  <c r="L10" i="40" s="1"/>
  <c r="H14" i="40"/>
  <c r="Q17" i="40"/>
  <c r="D30" i="40"/>
  <c r="K29" i="40"/>
  <c r="G13" i="40"/>
  <c r="K13" i="40" s="1"/>
  <c r="L13" i="40" s="1"/>
  <c r="H12" i="40"/>
  <c r="G30" i="40"/>
  <c r="O29" i="40" s="1"/>
  <c r="H22" i="40"/>
  <c r="H15" i="40"/>
  <c r="F19" i="40"/>
  <c r="F23" i="40" s="1"/>
  <c r="G17" i="40"/>
  <c r="H18" i="40"/>
  <c r="H20" i="40"/>
  <c r="F17" i="36"/>
  <c r="F21" i="36" s="1"/>
  <c r="G15" i="36"/>
  <c r="J15" i="36"/>
  <c r="C17" i="36"/>
  <c r="E13" i="36"/>
  <c r="E16" i="36"/>
  <c r="E20" i="36"/>
  <c r="E9" i="36"/>
  <c r="D10" i="36"/>
  <c r="K8" i="36"/>
  <c r="L8" i="36" s="1"/>
  <c r="E12" i="36"/>
  <c r="G10" i="36"/>
  <c r="H19" i="36"/>
  <c r="H11" i="36"/>
  <c r="H16" i="36"/>
  <c r="H18" i="36"/>
  <c r="E18" i="36"/>
  <c r="F7" i="29"/>
  <c r="F7" i="37" s="1"/>
  <c r="F8" i="37" s="1"/>
  <c r="C7" i="29"/>
  <c r="C7" i="37" s="1"/>
  <c r="F20" i="29"/>
  <c r="F20" i="37" s="1"/>
  <c r="F19" i="29"/>
  <c r="F19" i="37" s="1"/>
  <c r="F18" i="29"/>
  <c r="F18" i="37" s="1"/>
  <c r="F16" i="29"/>
  <c r="F16" i="37" s="1"/>
  <c r="F13" i="29"/>
  <c r="F13" i="37" s="1"/>
  <c r="J13" i="37" s="1"/>
  <c r="F11" i="29"/>
  <c r="F11" i="37" s="1"/>
  <c r="J11" i="37" s="1"/>
  <c r="F9" i="29"/>
  <c r="F9" i="37" s="1"/>
  <c r="C20" i="29"/>
  <c r="C20" i="37" s="1"/>
  <c r="J20" i="37" s="1"/>
  <c r="C19" i="29"/>
  <c r="C19" i="37" s="1"/>
  <c r="J19" i="37" s="1"/>
  <c r="C18" i="29"/>
  <c r="C18" i="37" s="1"/>
  <c r="J18" i="37" s="1"/>
  <c r="D16" i="34"/>
  <c r="D18" i="34" s="1"/>
  <c r="D26" i="34" s="1"/>
  <c r="D28" i="34" s="1"/>
  <c r="D32" i="34" s="1"/>
  <c r="D34" i="34" s="1"/>
  <c r="C13" i="34"/>
  <c r="C16" i="34" s="1"/>
  <c r="C18" i="34" s="1"/>
  <c r="C26" i="34" s="1"/>
  <c r="C28" i="34" s="1"/>
  <c r="C32" i="34" s="1"/>
  <c r="C34" i="34" s="1"/>
  <c r="C9" i="29"/>
  <c r="C9" i="37" s="1"/>
  <c r="D61" i="33"/>
  <c r="C61" i="33"/>
  <c r="E82" i="33"/>
  <c r="D82" i="33"/>
  <c r="W66" i="33"/>
  <c r="F10" i="37" l="1"/>
  <c r="F14" i="37" s="1"/>
  <c r="F15" i="37" s="1"/>
  <c r="J9" i="37"/>
  <c r="J7" i="37"/>
  <c r="C8" i="37"/>
  <c r="F17" i="37"/>
  <c r="F21" i="37" s="1"/>
  <c r="J16" i="42"/>
  <c r="C19" i="42"/>
  <c r="C23" i="42" s="1"/>
  <c r="C27" i="42" s="1"/>
  <c r="J17" i="42"/>
  <c r="J17" i="40"/>
  <c r="C19" i="40"/>
  <c r="G19" i="40"/>
  <c r="H17" i="40"/>
  <c r="O30" i="40"/>
  <c r="E16" i="40"/>
  <c r="K16" i="40"/>
  <c r="L16" i="40" s="1"/>
  <c r="D17" i="40"/>
  <c r="G16" i="40"/>
  <c r="H16" i="40" s="1"/>
  <c r="H13" i="40"/>
  <c r="O13" i="40" s="1"/>
  <c r="H15" i="36"/>
  <c r="G17" i="36"/>
  <c r="H10" i="36"/>
  <c r="G14" i="36"/>
  <c r="H14" i="36" s="1"/>
  <c r="D14" i="36"/>
  <c r="E10" i="36"/>
  <c r="K10" i="36"/>
  <c r="L10" i="36" s="1"/>
  <c r="C21" i="36"/>
  <c r="J21" i="36" s="1"/>
  <c r="J17" i="36"/>
  <c r="C16" i="29"/>
  <c r="C16" i="37" s="1"/>
  <c r="J16" i="37" s="1"/>
  <c r="E59" i="33"/>
  <c r="C10" i="37" l="1"/>
  <c r="J8" i="37"/>
  <c r="J19" i="42"/>
  <c r="J23" i="42"/>
  <c r="H19" i="40"/>
  <c r="G23" i="40"/>
  <c r="H23" i="40" s="1"/>
  <c r="J19" i="40"/>
  <c r="C23" i="40"/>
  <c r="J23" i="40" s="1"/>
  <c r="E17" i="40"/>
  <c r="O17" i="40" s="1"/>
  <c r="P17" i="40" s="1"/>
  <c r="K17" i="40"/>
  <c r="L17" i="40" s="1"/>
  <c r="D19" i="40"/>
  <c r="G21" i="36"/>
  <c r="H21" i="36" s="1"/>
  <c r="H17" i="36"/>
  <c r="O10" i="36"/>
  <c r="K14" i="36"/>
  <c r="L14" i="36" s="1"/>
  <c r="E14" i="36"/>
  <c r="D15" i="36"/>
  <c r="S58" i="33"/>
  <c r="S59" i="33"/>
  <c r="S60" i="33"/>
  <c r="S61" i="33"/>
  <c r="S62" i="33"/>
  <c r="S63" i="33"/>
  <c r="S64" i="33"/>
  <c r="S65" i="33"/>
  <c r="S57" i="33"/>
  <c r="K64" i="33"/>
  <c r="E61" i="33" s="1"/>
  <c r="E62" i="33" s="1"/>
  <c r="C14" i="37" l="1"/>
  <c r="J10" i="37"/>
  <c r="D23" i="40"/>
  <c r="E19" i="40"/>
  <c r="K19" i="40"/>
  <c r="L19" i="40" s="1"/>
  <c r="E15" i="36"/>
  <c r="D17" i="36"/>
  <c r="K15" i="36"/>
  <c r="L15" i="36" s="1"/>
  <c r="C67" i="33"/>
  <c r="D59" i="33"/>
  <c r="D64" i="33" s="1"/>
  <c r="C59" i="33"/>
  <c r="B2" i="33"/>
  <c r="J14" i="37" l="1"/>
  <c r="C15" i="37"/>
  <c r="K23" i="40"/>
  <c r="L23" i="40" s="1"/>
  <c r="E23" i="40"/>
  <c r="O23" i="40" s="1"/>
  <c r="P23" i="40" s="1"/>
  <c r="K17" i="36"/>
  <c r="L17" i="36" s="1"/>
  <c r="D21" i="36"/>
  <c r="E17" i="36"/>
  <c r="C62" i="33"/>
  <c r="D62" i="33"/>
  <c r="C17" i="37" l="1"/>
  <c r="J15" i="37"/>
  <c r="K21" i="36"/>
  <c r="L21" i="36" s="1"/>
  <c r="E21" i="36"/>
  <c r="O21" i="36" s="1"/>
  <c r="C21" i="37" l="1"/>
  <c r="J21" i="37" s="1"/>
  <c r="J17" i="37"/>
  <c r="E43" i="12"/>
  <c r="E44" i="12" s="1"/>
  <c r="G44" i="12"/>
  <c r="Q28" i="18"/>
  <c r="Q27" i="18"/>
  <c r="E16" i="30"/>
  <c r="X40" i="26"/>
  <c r="C30" i="13"/>
  <c r="D28" i="13" l="1"/>
  <c r="E28" i="13"/>
  <c r="F28" i="13"/>
  <c r="G28" i="13"/>
  <c r="H28" i="13"/>
  <c r="I28" i="13"/>
  <c r="D27" i="13"/>
  <c r="E27" i="13"/>
  <c r="F27" i="13"/>
  <c r="G27" i="13"/>
  <c r="H27" i="13"/>
  <c r="I27" i="13"/>
  <c r="C27" i="13"/>
  <c r="C28" i="13"/>
  <c r="G9" i="12"/>
  <c r="G11" i="12"/>
  <c r="G12" i="29"/>
  <c r="G12" i="37" s="1"/>
  <c r="D12" i="29"/>
  <c r="D12" i="37" s="1"/>
  <c r="J12" i="29"/>
  <c r="J20" i="29"/>
  <c r="G20" i="29"/>
  <c r="G20" i="37" s="1"/>
  <c r="D20" i="29"/>
  <c r="D20" i="37" s="1"/>
  <c r="J19" i="29"/>
  <c r="G19" i="29"/>
  <c r="G19" i="37" s="1"/>
  <c r="D19" i="29"/>
  <c r="D19" i="37" s="1"/>
  <c r="J18" i="29"/>
  <c r="G18" i="29"/>
  <c r="G18" i="37" s="1"/>
  <c r="D18" i="29"/>
  <c r="D18" i="37" s="1"/>
  <c r="J16" i="29"/>
  <c r="G16" i="29"/>
  <c r="G16" i="37" s="1"/>
  <c r="D16" i="29"/>
  <c r="D16" i="37" s="1"/>
  <c r="J13" i="29"/>
  <c r="G13" i="29"/>
  <c r="G13" i="37" s="1"/>
  <c r="D13" i="29"/>
  <c r="D13" i="37" s="1"/>
  <c r="G11" i="29"/>
  <c r="G11" i="37" s="1"/>
  <c r="D11" i="29"/>
  <c r="D11" i="37" s="1"/>
  <c r="J9" i="29"/>
  <c r="G9" i="29"/>
  <c r="G9" i="37" s="1"/>
  <c r="D9" i="29"/>
  <c r="D9" i="37" s="1"/>
  <c r="F8" i="29"/>
  <c r="C8" i="29"/>
  <c r="C10" i="29" s="1"/>
  <c r="J7" i="29"/>
  <c r="G7" i="29"/>
  <c r="D7" i="29"/>
  <c r="D7" i="37" s="1"/>
  <c r="J22" i="27"/>
  <c r="J21" i="27"/>
  <c r="J20" i="27"/>
  <c r="J18" i="27"/>
  <c r="J15" i="27"/>
  <c r="J12" i="27"/>
  <c r="J11" i="27"/>
  <c r="J9" i="27"/>
  <c r="J8" i="27"/>
  <c r="K11" i="26"/>
  <c r="J7" i="27"/>
  <c r="G22" i="27"/>
  <c r="G22" i="42" s="1"/>
  <c r="G21" i="27"/>
  <c r="G21" i="42" s="1"/>
  <c r="G20" i="27"/>
  <c r="G20" i="42" s="1"/>
  <c r="G18" i="27"/>
  <c r="G18" i="42" s="1"/>
  <c r="G15" i="27"/>
  <c r="G15" i="42" s="1"/>
  <c r="G14" i="27"/>
  <c r="G12" i="27"/>
  <c r="G12" i="42" s="1"/>
  <c r="G11" i="27"/>
  <c r="G11" i="42" s="1"/>
  <c r="G9" i="27"/>
  <c r="G9" i="42" s="1"/>
  <c r="G8" i="27"/>
  <c r="G8" i="42" s="1"/>
  <c r="G7" i="27"/>
  <c r="G7" i="42" s="1"/>
  <c r="D22" i="27"/>
  <c r="D22" i="42" s="1"/>
  <c r="D21" i="27"/>
  <c r="D21" i="42" s="1"/>
  <c r="D20" i="27"/>
  <c r="D20" i="42" s="1"/>
  <c r="D18" i="27"/>
  <c r="D18" i="42" s="1"/>
  <c r="D15" i="27"/>
  <c r="D15" i="42" s="1"/>
  <c r="D14" i="27"/>
  <c r="D12" i="27"/>
  <c r="D12" i="42" s="1"/>
  <c r="D11" i="27"/>
  <c r="D11" i="42" s="1"/>
  <c r="D9" i="27"/>
  <c r="D9" i="42" s="1"/>
  <c r="D8" i="27"/>
  <c r="D8" i="42" s="1"/>
  <c r="D7" i="27"/>
  <c r="D7" i="42" s="1"/>
  <c r="K7" i="42" l="1"/>
  <c r="L7" i="42" s="1"/>
  <c r="K9" i="42"/>
  <c r="L9" i="42" s="1"/>
  <c r="K20" i="37"/>
  <c r="L20" i="37" s="1"/>
  <c r="H19" i="37"/>
  <c r="D8" i="37"/>
  <c r="K7" i="37"/>
  <c r="L7" i="37" s="1"/>
  <c r="K18" i="37"/>
  <c r="E18" i="37"/>
  <c r="D24" i="37"/>
  <c r="K9" i="37"/>
  <c r="E9" i="37"/>
  <c r="H18" i="37"/>
  <c r="G24" i="29"/>
  <c r="G7" i="37"/>
  <c r="G8" i="37" s="1"/>
  <c r="G10" i="37" s="1"/>
  <c r="H10" i="37" s="1"/>
  <c r="H13" i="37"/>
  <c r="K19" i="37"/>
  <c r="L19" i="37" s="1"/>
  <c r="E19" i="37"/>
  <c r="K13" i="37"/>
  <c r="E13" i="37"/>
  <c r="K11" i="37"/>
  <c r="D14" i="42"/>
  <c r="G10" i="42"/>
  <c r="H20" i="42" s="1"/>
  <c r="K18" i="42"/>
  <c r="L18" i="42" s="1"/>
  <c r="G26" i="42"/>
  <c r="K20" i="42"/>
  <c r="G32" i="27"/>
  <c r="G14" i="42"/>
  <c r="K22" i="42"/>
  <c r="L22" i="42" s="1"/>
  <c r="K21" i="42"/>
  <c r="L21" i="42" s="1"/>
  <c r="D10" i="42"/>
  <c r="E15" i="42" s="1"/>
  <c r="K8" i="42"/>
  <c r="L8" i="42" s="1"/>
  <c r="E12" i="37"/>
  <c r="K16" i="37"/>
  <c r="L16" i="37" s="1"/>
  <c r="H16" i="37"/>
  <c r="K15" i="42"/>
  <c r="K12" i="42"/>
  <c r="D26" i="42"/>
  <c r="K12" i="37"/>
  <c r="L12" i="37" s="1"/>
  <c r="H12" i="37"/>
  <c r="X12" i="37"/>
  <c r="G14" i="37"/>
  <c r="D32" i="27"/>
  <c r="G29" i="27"/>
  <c r="D29" i="27"/>
  <c r="K7" i="27"/>
  <c r="L7" i="27" s="1"/>
  <c r="D8" i="29"/>
  <c r="E12" i="29" s="1"/>
  <c r="D24" i="29"/>
  <c r="L24" i="29"/>
  <c r="K8" i="27"/>
  <c r="L8" i="27" s="1"/>
  <c r="K20" i="27"/>
  <c r="K22" i="27"/>
  <c r="L22" i="27" s="1"/>
  <c r="K12" i="27"/>
  <c r="L12" i="27" s="1"/>
  <c r="K9" i="27"/>
  <c r="L9" i="27" s="1"/>
  <c r="K14" i="27"/>
  <c r="K15" i="27"/>
  <c r="L15" i="27" s="1"/>
  <c r="K18" i="27"/>
  <c r="K11" i="27"/>
  <c r="V13" i="27" s="1"/>
  <c r="K21" i="27"/>
  <c r="K16" i="29"/>
  <c r="L16" i="29" s="1"/>
  <c r="F10" i="29"/>
  <c r="F14" i="29" s="1"/>
  <c r="F15" i="29" s="1"/>
  <c r="K9" i="29"/>
  <c r="K19" i="29"/>
  <c r="L19" i="29" s="1"/>
  <c r="K18" i="29"/>
  <c r="K7" i="29"/>
  <c r="L7" i="29" s="1"/>
  <c r="C14" i="29"/>
  <c r="K11" i="29"/>
  <c r="K20" i="29"/>
  <c r="L20" i="29" s="1"/>
  <c r="K13" i="29"/>
  <c r="J8" i="29"/>
  <c r="G8" i="29"/>
  <c r="G10" i="29" s="1"/>
  <c r="D10" i="27"/>
  <c r="V17" i="27" l="1"/>
  <c r="K8" i="37"/>
  <c r="L8" i="37" s="1"/>
  <c r="O8" i="37"/>
  <c r="P8" i="37" s="1"/>
  <c r="D10" i="37"/>
  <c r="L9" i="37"/>
  <c r="U10" i="37"/>
  <c r="L24" i="37"/>
  <c r="E20" i="37"/>
  <c r="L18" i="37"/>
  <c r="U21" i="37"/>
  <c r="E16" i="37"/>
  <c r="H11" i="37"/>
  <c r="H9" i="37"/>
  <c r="E11" i="37"/>
  <c r="H20" i="37"/>
  <c r="G24" i="37"/>
  <c r="K14" i="42"/>
  <c r="X14" i="42" s="1"/>
  <c r="E14" i="27"/>
  <c r="P10" i="27"/>
  <c r="L26" i="42"/>
  <c r="H18" i="42"/>
  <c r="G13" i="42"/>
  <c r="G16" i="42" s="1"/>
  <c r="H22" i="42"/>
  <c r="H15" i="42"/>
  <c r="H21" i="42"/>
  <c r="H14" i="42"/>
  <c r="U13" i="37"/>
  <c r="L13" i="37"/>
  <c r="X11" i="37"/>
  <c r="Y12" i="37" s="1"/>
  <c r="L11" i="37"/>
  <c r="O10" i="42"/>
  <c r="P10" i="42" s="1"/>
  <c r="K10" i="42"/>
  <c r="L10" i="42" s="1"/>
  <c r="E21" i="42"/>
  <c r="L20" i="42"/>
  <c r="U23" i="42"/>
  <c r="H12" i="42"/>
  <c r="D13" i="42"/>
  <c r="E20" i="42"/>
  <c r="E12" i="42"/>
  <c r="E18" i="42"/>
  <c r="E14" i="42"/>
  <c r="E22" i="42"/>
  <c r="L15" i="42"/>
  <c r="U15" i="42"/>
  <c r="U13" i="42"/>
  <c r="L12" i="42"/>
  <c r="K29" i="27"/>
  <c r="G15" i="37"/>
  <c r="H14" i="37"/>
  <c r="E20" i="27"/>
  <c r="D30" i="27"/>
  <c r="L18" i="29"/>
  <c r="L13" i="29"/>
  <c r="Q13" i="29"/>
  <c r="L9" i="29"/>
  <c r="L18" i="27"/>
  <c r="O18" i="27" s="1"/>
  <c r="L20" i="27"/>
  <c r="O20" i="27" s="1"/>
  <c r="V23" i="27"/>
  <c r="L11" i="27"/>
  <c r="L14" i="27"/>
  <c r="L11" i="29"/>
  <c r="E18" i="27"/>
  <c r="D13" i="27"/>
  <c r="E12" i="27"/>
  <c r="E22" i="27"/>
  <c r="E15" i="27"/>
  <c r="E11" i="27"/>
  <c r="E21" i="27"/>
  <c r="H12" i="29"/>
  <c r="J10" i="29"/>
  <c r="K12" i="29"/>
  <c r="G15" i="29"/>
  <c r="H15" i="29" s="1"/>
  <c r="F17" i="29"/>
  <c r="F21" i="29" s="1"/>
  <c r="E13" i="29"/>
  <c r="D10" i="29"/>
  <c r="E20" i="29"/>
  <c r="E19" i="29"/>
  <c r="E11" i="29"/>
  <c r="H13" i="29"/>
  <c r="H11" i="29"/>
  <c r="E18" i="29"/>
  <c r="E9" i="29"/>
  <c r="H19" i="29"/>
  <c r="H9" i="29"/>
  <c r="H20" i="29"/>
  <c r="H16" i="29"/>
  <c r="E16" i="29"/>
  <c r="H18" i="29"/>
  <c r="C15" i="29"/>
  <c r="J14" i="29"/>
  <c r="H10" i="29"/>
  <c r="G14" i="29"/>
  <c r="H14" i="29" s="1"/>
  <c r="K8" i="29"/>
  <c r="L8" i="29" s="1"/>
  <c r="L14" i="42" l="1"/>
  <c r="K10" i="37"/>
  <c r="L10" i="37" s="1"/>
  <c r="E10" i="37"/>
  <c r="S10" i="37" s="1"/>
  <c r="D14" i="37"/>
  <c r="L12" i="29"/>
  <c r="Q12" i="29"/>
  <c r="H13" i="42"/>
  <c r="E13" i="42"/>
  <c r="D16" i="42"/>
  <c r="K16" i="42" s="1"/>
  <c r="L16" i="42" s="1"/>
  <c r="K13" i="42"/>
  <c r="L13" i="42" s="1"/>
  <c r="G17" i="42"/>
  <c r="H16" i="42"/>
  <c r="H15" i="37"/>
  <c r="G17" i="37"/>
  <c r="E13" i="27"/>
  <c r="D16" i="27"/>
  <c r="G17" i="29"/>
  <c r="G21" i="29" s="1"/>
  <c r="H21" i="29" s="1"/>
  <c r="J15" i="29"/>
  <c r="C17" i="29"/>
  <c r="K10" i="29"/>
  <c r="D14" i="29"/>
  <c r="K14" i="29" s="1"/>
  <c r="L14" i="29" s="1"/>
  <c r="E10" i="29"/>
  <c r="O11" i="29" s="1"/>
  <c r="O12" i="29" s="1"/>
  <c r="O13" i="29" s="1"/>
  <c r="S13" i="42" l="1"/>
  <c r="E14" i="37"/>
  <c r="K14" i="37"/>
  <c r="L14" i="37" s="1"/>
  <c r="D15" i="37"/>
  <c r="L10" i="29"/>
  <c r="Q10" i="29"/>
  <c r="E16" i="42"/>
  <c r="D17" i="42"/>
  <c r="H17" i="42"/>
  <c r="G19" i="42"/>
  <c r="G21" i="37"/>
  <c r="H17" i="37"/>
  <c r="D17" i="27"/>
  <c r="E16" i="27"/>
  <c r="H17" i="29"/>
  <c r="E14" i="29"/>
  <c r="D15" i="29"/>
  <c r="C21" i="29"/>
  <c r="J21" i="29" s="1"/>
  <c r="J17" i="29"/>
  <c r="K15" i="37" l="1"/>
  <c r="L15" i="37" s="1"/>
  <c r="O15" i="37"/>
  <c r="P15" i="37" s="1"/>
  <c r="E15" i="37"/>
  <c r="D17" i="37"/>
  <c r="O17" i="42"/>
  <c r="P17" i="42" s="1"/>
  <c r="E17" i="42"/>
  <c r="K17" i="42"/>
  <c r="L17" i="42" s="1"/>
  <c r="D19" i="42"/>
  <c r="G23" i="42"/>
  <c r="H19" i="42"/>
  <c r="H21" i="37"/>
  <c r="E17" i="27"/>
  <c r="K15" i="29"/>
  <c r="L15" i="29" s="1"/>
  <c r="E15" i="29"/>
  <c r="D17" i="29"/>
  <c r="D21" i="37" l="1"/>
  <c r="K17" i="37"/>
  <c r="L17" i="37" s="1"/>
  <c r="E17" i="37"/>
  <c r="E19" i="42"/>
  <c r="K19" i="42"/>
  <c r="L19" i="42" s="1"/>
  <c r="D23" i="42"/>
  <c r="H23" i="42"/>
  <c r="G27" i="42"/>
  <c r="K17" i="29"/>
  <c r="L17" i="29" s="1"/>
  <c r="D21" i="29"/>
  <c r="E17" i="29"/>
  <c r="E21" i="37" l="1"/>
  <c r="S21" i="37" s="1"/>
  <c r="K21" i="37"/>
  <c r="L21" i="37" s="1"/>
  <c r="D27" i="42"/>
  <c r="E23" i="42"/>
  <c r="S23" i="42" s="1"/>
  <c r="K23" i="42"/>
  <c r="L23" i="42" s="1"/>
  <c r="E21" i="29"/>
  <c r="K21" i="29"/>
  <c r="L21" i="29" s="1"/>
  <c r="F10" i="27" l="1"/>
  <c r="C10" i="27"/>
  <c r="C13" i="27" l="1"/>
  <c r="J10" i="27"/>
  <c r="F13" i="27"/>
  <c r="F16" i="27" s="1"/>
  <c r="F17" i="27" s="1"/>
  <c r="G10" i="27"/>
  <c r="G30" i="27" s="1"/>
  <c r="T30" i="27" l="1"/>
  <c r="T29" i="27"/>
  <c r="K10" i="27"/>
  <c r="L10" i="27" s="1"/>
  <c r="F19" i="27"/>
  <c r="F23" i="27" s="1"/>
  <c r="F28" i="42" s="1"/>
  <c r="G17" i="27"/>
  <c r="H17" i="27" s="1"/>
  <c r="T17" i="27" s="1"/>
  <c r="C16" i="27"/>
  <c r="J16" i="27" s="1"/>
  <c r="J13" i="27"/>
  <c r="H14" i="27"/>
  <c r="H22" i="27"/>
  <c r="H15" i="27"/>
  <c r="G13" i="27"/>
  <c r="K13" i="27" s="1"/>
  <c r="L13" i="27" s="1"/>
  <c r="O13" i="27" s="1"/>
  <c r="H21" i="27"/>
  <c r="H20" i="27"/>
  <c r="H18" i="27"/>
  <c r="H12" i="27"/>
  <c r="H11" i="27"/>
  <c r="T11" i="27" s="1"/>
  <c r="G19" i="27" l="1"/>
  <c r="K17" i="27"/>
  <c r="L17" i="27" s="1"/>
  <c r="O17" i="27" s="1"/>
  <c r="G16" i="27"/>
  <c r="K16" i="27" s="1"/>
  <c r="L16" i="27" s="1"/>
  <c r="C17" i="27"/>
  <c r="H13" i="27"/>
  <c r="T13" i="27" s="1"/>
  <c r="D19" i="27"/>
  <c r="U17" i="27" l="1"/>
  <c r="E19" i="27"/>
  <c r="K19" i="27"/>
  <c r="L19" i="27" s="1"/>
  <c r="D23" i="27"/>
  <c r="D28" i="42" s="1"/>
  <c r="J17" i="27"/>
  <c r="C19" i="27"/>
  <c r="G23" i="27"/>
  <c r="H19" i="27"/>
  <c r="H16" i="27"/>
  <c r="H23" i="27" l="1"/>
  <c r="G28" i="42"/>
  <c r="J19" i="27"/>
  <c r="C23" i="27"/>
  <c r="K23" i="27"/>
  <c r="L23" i="27" s="1"/>
  <c r="E23" i="27"/>
  <c r="J23" i="27" l="1"/>
  <c r="C28" i="42"/>
  <c r="T23" i="27"/>
  <c r="U23" i="27" s="1"/>
  <c r="AD71" i="25"/>
  <c r="AC71" i="25"/>
  <c r="J37" i="25"/>
  <c r="E9" i="26" l="1"/>
  <c r="E12" i="26" s="1"/>
  <c r="K13" i="26"/>
  <c r="K18" i="26"/>
  <c r="L8" i="26"/>
  <c r="M8" i="26" s="1"/>
  <c r="K8" i="26"/>
  <c r="K10" i="26"/>
  <c r="L11" i="26"/>
  <c r="L20" i="26"/>
  <c r="K20" i="26"/>
  <c r="L21" i="26"/>
  <c r="M21" i="26" s="1"/>
  <c r="K21" i="26"/>
  <c r="L22" i="26"/>
  <c r="M22" i="26" s="1"/>
  <c r="K22" i="26"/>
  <c r="L24" i="26"/>
  <c r="K24" i="26"/>
  <c r="M14" i="26"/>
  <c r="K14" i="26"/>
  <c r="L28" i="26"/>
  <c r="M28" i="26" s="1"/>
  <c r="K28" i="26"/>
  <c r="L29" i="26"/>
  <c r="M29" i="26" s="1"/>
  <c r="K29" i="26"/>
  <c r="L15" i="26"/>
  <c r="M15" i="26" s="1"/>
  <c r="K15" i="26"/>
  <c r="K7" i="26"/>
  <c r="G9" i="26"/>
  <c r="G12" i="26" s="1"/>
  <c r="D9" i="26"/>
  <c r="L13" i="26"/>
  <c r="AG71" i="25"/>
  <c r="AE71" i="25" s="1"/>
  <c r="P9" i="26" l="1"/>
  <c r="Q9" i="26" s="1"/>
  <c r="U17" i="26"/>
  <c r="M20" i="26"/>
  <c r="U23" i="26"/>
  <c r="F18" i="26"/>
  <c r="L18" i="26"/>
  <c r="M13" i="26"/>
  <c r="M11" i="26"/>
  <c r="K9" i="26"/>
  <c r="L10" i="26"/>
  <c r="U12" i="26" s="1"/>
  <c r="F10" i="26"/>
  <c r="F11" i="26"/>
  <c r="Y7" i="26"/>
  <c r="L7" i="26"/>
  <c r="M7" i="26" s="1"/>
  <c r="G16" i="26"/>
  <c r="G17" i="26" s="1"/>
  <c r="D52" i="25"/>
  <c r="D39" i="25" s="1"/>
  <c r="F12" i="26"/>
  <c r="F14" i="26"/>
  <c r="F13" i="26"/>
  <c r="AF71" i="25"/>
  <c r="D12" i="26"/>
  <c r="E39" i="25"/>
  <c r="G39" i="25" s="1"/>
  <c r="AB71" i="25"/>
  <c r="I18" i="26" l="1"/>
  <c r="H12" i="26"/>
  <c r="I14" i="26"/>
  <c r="I13" i="26"/>
  <c r="F15" i="26"/>
  <c r="Y9" i="26"/>
  <c r="I10" i="26"/>
  <c r="I11" i="26"/>
  <c r="L9" i="26"/>
  <c r="M9" i="26" s="1"/>
  <c r="S9" i="26" s="1"/>
  <c r="I15" i="26"/>
  <c r="M10" i="26"/>
  <c r="K39" i="25"/>
  <c r="K41" i="25" s="1"/>
  <c r="G19" i="26"/>
  <c r="G23" i="26" s="1"/>
  <c r="G25" i="26" s="1"/>
  <c r="G27" i="26" s="1"/>
  <c r="M18" i="26"/>
  <c r="E16" i="26"/>
  <c r="D16" i="26"/>
  <c r="D17" i="26" s="1"/>
  <c r="K12" i="26"/>
  <c r="H16" i="26"/>
  <c r="I16" i="26" s="1"/>
  <c r="E41" i="25"/>
  <c r="E40" i="25"/>
  <c r="F40" i="25"/>
  <c r="H39" i="25"/>
  <c r="E17" i="26" l="1"/>
  <c r="H17" i="26"/>
  <c r="I17" i="26" s="1"/>
  <c r="K17" i="26"/>
  <c r="L12" i="26"/>
  <c r="M12" i="26" s="1"/>
  <c r="K16" i="26"/>
  <c r="F16" i="26"/>
  <c r="L16" i="26"/>
  <c r="M16" i="26" s="1"/>
  <c r="I12" i="26"/>
  <c r="S12" i="26" s="1"/>
  <c r="H40" i="25"/>
  <c r="G40" i="25"/>
  <c r="I40" i="25" s="1"/>
  <c r="E19" i="26" l="1"/>
  <c r="F19" i="26" s="1"/>
  <c r="P17" i="26"/>
  <c r="Q17" i="26" s="1"/>
  <c r="H19" i="26"/>
  <c r="I19" i="26" s="1"/>
  <c r="L17" i="26"/>
  <c r="M17" i="26" s="1"/>
  <c r="F17" i="26"/>
  <c r="S17" i="26" s="1"/>
  <c r="T17" i="26" s="1"/>
  <c r="M41" i="25"/>
  <c r="F16" i="30"/>
  <c r="D16" i="30"/>
  <c r="D19" i="26"/>
  <c r="E23" i="26" l="1"/>
  <c r="F23" i="26" s="1"/>
  <c r="L19" i="26"/>
  <c r="M19" i="26" s="1"/>
  <c r="H23" i="26"/>
  <c r="H25" i="26" s="1"/>
  <c r="I25" i="26" s="1"/>
  <c r="L40" i="25"/>
  <c r="M40" i="25"/>
  <c r="N39" i="25"/>
  <c r="L41" i="25"/>
  <c r="O39" i="25"/>
  <c r="D23" i="26"/>
  <c r="K19" i="26"/>
  <c r="E8" i="45" l="1"/>
  <c r="E10" i="45" s="1"/>
  <c r="E25" i="26"/>
  <c r="F25" i="26" s="1"/>
  <c r="H27" i="26"/>
  <c r="I27" i="26" s="1"/>
  <c r="L23" i="26"/>
  <c r="M23" i="26" s="1"/>
  <c r="I23" i="26"/>
  <c r="S23" i="26" s="1"/>
  <c r="T23" i="26" s="1"/>
  <c r="E27" i="26"/>
  <c r="N40" i="25"/>
  <c r="O40" i="25"/>
  <c r="D25" i="26"/>
  <c r="K23" i="26"/>
  <c r="C59" i="24"/>
  <c r="E55" i="24"/>
  <c r="E52" i="24"/>
  <c r="D52" i="24"/>
  <c r="D55" i="24" s="1"/>
  <c r="C52" i="24"/>
  <c r="C55" i="24" s="1"/>
  <c r="J51" i="24"/>
  <c r="J50" i="24"/>
  <c r="J49" i="24"/>
  <c r="J48" i="24"/>
  <c r="J47" i="24"/>
  <c r="J46" i="24"/>
  <c r="J45" i="24"/>
  <c r="J44" i="24"/>
  <c r="J43" i="24"/>
  <c r="J42" i="24"/>
  <c r="J41" i="24"/>
  <c r="J40" i="24"/>
  <c r="J39" i="24"/>
  <c r="J38" i="24"/>
  <c r="B2" i="24"/>
  <c r="C64" i="23"/>
  <c r="E56" i="23"/>
  <c r="E60" i="23" s="1"/>
  <c r="C56" i="23"/>
  <c r="C59" i="23" s="1"/>
  <c r="D46" i="23"/>
  <c r="D47" i="23" s="1"/>
  <c r="D48" i="23" s="1"/>
  <c r="D49" i="23" s="1"/>
  <c r="D50" i="23" s="1"/>
  <c r="D51" i="23" s="1"/>
  <c r="D52" i="23" s="1"/>
  <c r="D53" i="23" s="1"/>
  <c r="D45" i="23"/>
  <c r="B2" i="23"/>
  <c r="L23" i="18"/>
  <c r="L22" i="18"/>
  <c r="L20" i="18"/>
  <c r="M20" i="18" s="1"/>
  <c r="L19" i="18"/>
  <c r="L17" i="18"/>
  <c r="L16" i="18"/>
  <c r="L15" i="18"/>
  <c r="L14" i="18"/>
  <c r="L13" i="18"/>
  <c r="L11" i="18"/>
  <c r="L10" i="18"/>
  <c r="L9" i="18"/>
  <c r="L8" i="18"/>
  <c r="K23" i="18"/>
  <c r="K22" i="18"/>
  <c r="K20" i="18"/>
  <c r="K19" i="18"/>
  <c r="K17" i="18"/>
  <c r="K16" i="18"/>
  <c r="K15" i="18"/>
  <c r="K14" i="18"/>
  <c r="M14" i="18" s="1"/>
  <c r="K13" i="18"/>
  <c r="K11" i="18"/>
  <c r="K10" i="18"/>
  <c r="K9" i="18"/>
  <c r="M9" i="18" s="1"/>
  <c r="K8" i="18"/>
  <c r="J23" i="18"/>
  <c r="J22" i="18"/>
  <c r="J20" i="18"/>
  <c r="J19" i="18"/>
  <c r="J17" i="18"/>
  <c r="J16" i="18"/>
  <c r="J15" i="18"/>
  <c r="J14" i="18"/>
  <c r="J13" i="18"/>
  <c r="J11" i="18"/>
  <c r="J10" i="18"/>
  <c r="J9" i="18"/>
  <c r="J8" i="18"/>
  <c r="I23" i="18"/>
  <c r="I22" i="18"/>
  <c r="I20" i="18"/>
  <c r="I19" i="18"/>
  <c r="I17" i="18"/>
  <c r="I16" i="18"/>
  <c r="I15" i="18"/>
  <c r="I14" i="18"/>
  <c r="I13" i="18"/>
  <c r="N13" i="18" s="1"/>
  <c r="J12" i="18"/>
  <c r="I12" i="18"/>
  <c r="I11" i="18"/>
  <c r="I10" i="18"/>
  <c r="N10" i="18" s="1"/>
  <c r="I9" i="18"/>
  <c r="I8" i="18"/>
  <c r="L24" i="18"/>
  <c r="K24" i="18"/>
  <c r="M24" i="18" s="1"/>
  <c r="J24" i="18"/>
  <c r="I24" i="18"/>
  <c r="N24" i="18" s="1"/>
  <c r="N23" i="18"/>
  <c r="M23" i="18"/>
  <c r="M22" i="18"/>
  <c r="N22" i="18"/>
  <c r="L21" i="18"/>
  <c r="K21" i="18"/>
  <c r="J21" i="18"/>
  <c r="I21" i="18"/>
  <c r="N21" i="18" s="1"/>
  <c r="N20" i="18"/>
  <c r="N19" i="18"/>
  <c r="M19" i="18"/>
  <c r="L18" i="18"/>
  <c r="K18" i="18"/>
  <c r="M18" i="18" s="1"/>
  <c r="J18" i="18"/>
  <c r="I18" i="18"/>
  <c r="N17" i="18"/>
  <c r="M17" i="18"/>
  <c r="N16" i="18"/>
  <c r="M16" i="18"/>
  <c r="N15" i="18"/>
  <c r="M15" i="18"/>
  <c r="N14" i="18"/>
  <c r="M13" i="18"/>
  <c r="M10" i="18"/>
  <c r="N9" i="18"/>
  <c r="M8" i="18"/>
  <c r="N8" i="18"/>
  <c r="Q11" i="18"/>
  <c r="R11" i="18"/>
  <c r="S11" i="18"/>
  <c r="T11" i="18"/>
  <c r="Q12" i="18"/>
  <c r="R12" i="18"/>
  <c r="S12" i="18"/>
  <c r="T12" i="18"/>
  <c r="Q13" i="18"/>
  <c r="R13" i="18"/>
  <c r="S13" i="18"/>
  <c r="T13" i="18"/>
  <c r="Q14" i="18"/>
  <c r="R14" i="18"/>
  <c r="S14" i="18"/>
  <c r="T14" i="18"/>
  <c r="Q15" i="18"/>
  <c r="R15" i="18"/>
  <c r="S15" i="18"/>
  <c r="T15" i="18"/>
  <c r="Q16" i="18"/>
  <c r="R16" i="18"/>
  <c r="S16" i="18"/>
  <c r="T16" i="18"/>
  <c r="Q18" i="18"/>
  <c r="R18" i="18"/>
  <c r="S18" i="18"/>
  <c r="T18" i="18"/>
  <c r="Q19" i="18"/>
  <c r="R19" i="18"/>
  <c r="S19" i="18"/>
  <c r="T19" i="18"/>
  <c r="Q21" i="18"/>
  <c r="R21" i="18"/>
  <c r="S21" i="18"/>
  <c r="T21" i="18"/>
  <c r="Q22" i="18"/>
  <c r="R22" i="18"/>
  <c r="S22" i="18"/>
  <c r="T22" i="18"/>
  <c r="M52" i="19"/>
  <c r="M51" i="19"/>
  <c r="L52" i="19"/>
  <c r="L51" i="19"/>
  <c r="G53" i="19"/>
  <c r="G52" i="19"/>
  <c r="H53" i="19"/>
  <c r="H52" i="19"/>
  <c r="H51" i="19"/>
  <c r="G51" i="19"/>
  <c r="C34" i="19" s="1"/>
  <c r="M53" i="19"/>
  <c r="L53" i="19"/>
  <c r="L25" i="26" l="1"/>
  <c r="M25" i="26" s="1"/>
  <c r="D27" i="26"/>
  <c r="K25" i="26"/>
  <c r="F27" i="26"/>
  <c r="L27" i="26"/>
  <c r="M27" i="26" s="1"/>
  <c r="D56" i="23"/>
  <c r="E59" i="23"/>
  <c r="M21" i="18"/>
  <c r="K12" i="18"/>
  <c r="I25" i="18"/>
  <c r="J25" i="18"/>
  <c r="N18" i="18"/>
  <c r="K25" i="18"/>
  <c r="H54" i="19"/>
  <c r="D33" i="19" s="1"/>
  <c r="C35" i="19"/>
  <c r="G54" i="19"/>
  <c r="K27" i="26" l="1"/>
  <c r="D61" i="23"/>
  <c r="D59" i="23"/>
  <c r="D42" i="20" l="1"/>
  <c r="M53" i="17"/>
  <c r="Q54" i="22"/>
  <c r="S41" i="22"/>
  <c r="Q55" i="22"/>
  <c r="P55" i="22"/>
  <c r="S55" i="22" s="1"/>
  <c r="P54" i="22"/>
  <c r="S54" i="22" s="1"/>
  <c r="Q53" i="22"/>
  <c r="P53" i="22"/>
  <c r="Q52" i="22"/>
  <c r="P52" i="22"/>
  <c r="S52" i="22" s="1"/>
  <c r="Q51" i="22"/>
  <c r="P51" i="22"/>
  <c r="S51" i="22" s="1"/>
  <c r="Q50" i="22"/>
  <c r="P50" i="22"/>
  <c r="Q49" i="22"/>
  <c r="P49" i="22"/>
  <c r="Q48" i="22"/>
  <c r="P48" i="22"/>
  <c r="S48" i="22" s="1"/>
  <c r="Q47" i="22"/>
  <c r="P47" i="22"/>
  <c r="Q46" i="22"/>
  <c r="Q45" i="22"/>
  <c r="P45" i="22"/>
  <c r="Q44" i="22"/>
  <c r="P44" i="22"/>
  <c r="Q43" i="22"/>
  <c r="P43" i="22"/>
  <c r="Q42" i="22"/>
  <c r="P42" i="22"/>
  <c r="Q40" i="22"/>
  <c r="P40" i="22"/>
  <c r="Q39" i="22"/>
  <c r="P39" i="22"/>
  <c r="Q38" i="22"/>
  <c r="P38" i="22"/>
  <c r="Q37" i="22"/>
  <c r="P37" i="22"/>
  <c r="Q36" i="22"/>
  <c r="P36" i="22"/>
  <c r="Q35" i="22"/>
  <c r="P35" i="22"/>
  <c r="Q34" i="22"/>
  <c r="P34" i="22"/>
  <c r="Q45" i="21"/>
  <c r="Q42" i="21"/>
  <c r="Q44" i="21"/>
  <c r="Q43" i="21"/>
  <c r="Q41" i="21"/>
  <c r="Q38" i="21"/>
  <c r="Q37" i="21"/>
  <c r="Q36" i="21"/>
  <c r="P6" i="21"/>
  <c r="W6" i="21" s="1"/>
  <c r="X6" i="21" s="1"/>
  <c r="P5" i="21"/>
  <c r="Q8" i="21"/>
  <c r="P16" i="22"/>
  <c r="P11" i="22"/>
  <c r="P3" i="22"/>
  <c r="Q14" i="22"/>
  <c r="P9" i="22"/>
  <c r="S9" i="22" s="1"/>
  <c r="Q7" i="22"/>
  <c r="R23" i="22"/>
  <c r="R22" i="22"/>
  <c r="R21" i="22"/>
  <c r="R20" i="22"/>
  <c r="R19" i="22"/>
  <c r="R18" i="22"/>
  <c r="R17" i="22"/>
  <c r="R16" i="22"/>
  <c r="R15" i="22"/>
  <c r="R13" i="22"/>
  <c r="R12" i="22"/>
  <c r="R11" i="22"/>
  <c r="R10" i="22"/>
  <c r="R8" i="22"/>
  <c r="R7" i="22"/>
  <c r="R6" i="22"/>
  <c r="R5" i="22"/>
  <c r="R4" i="22"/>
  <c r="R2" i="22"/>
  <c r="Q23" i="22"/>
  <c r="Q22" i="22"/>
  <c r="Q21" i="22"/>
  <c r="Q20" i="22"/>
  <c r="Q19" i="22"/>
  <c r="Q18" i="22"/>
  <c r="Q17" i="22"/>
  <c r="Q16" i="22"/>
  <c r="Q15" i="22"/>
  <c r="Q13" i="22"/>
  <c r="Q12" i="22"/>
  <c r="Q11" i="22"/>
  <c r="Q10" i="22"/>
  <c r="Q8" i="22"/>
  <c r="Q6" i="22"/>
  <c r="Q5" i="22"/>
  <c r="Q4" i="22"/>
  <c r="Q3" i="22"/>
  <c r="Q2" i="22"/>
  <c r="P23" i="22"/>
  <c r="P22" i="22"/>
  <c r="P21" i="22"/>
  <c r="P20" i="22"/>
  <c r="P19" i="22"/>
  <c r="P18" i="22"/>
  <c r="P17" i="22"/>
  <c r="P15" i="22"/>
  <c r="P13" i="22"/>
  <c r="P12" i="22"/>
  <c r="P10" i="22"/>
  <c r="P8" i="22"/>
  <c r="P7" i="22"/>
  <c r="P6" i="22"/>
  <c r="P5" i="22"/>
  <c r="P4" i="22"/>
  <c r="P2" i="22"/>
  <c r="M25" i="22"/>
  <c r="P29" i="21" l="1"/>
  <c r="Q29" i="21" s="1"/>
  <c r="W5" i="21"/>
  <c r="S42" i="22"/>
  <c r="Q57" i="22"/>
  <c r="P20" i="21"/>
  <c r="P57" i="22"/>
  <c r="K51" i="46" s="1"/>
  <c r="S17" i="22"/>
  <c r="S35" i="22"/>
  <c r="S49" i="22"/>
  <c r="S53" i="22"/>
  <c r="S36" i="22"/>
  <c r="S40" i="22"/>
  <c r="S50" i="22"/>
  <c r="Q59" i="22"/>
  <c r="M52" i="46" s="1"/>
  <c r="S34" i="22"/>
  <c r="S39" i="22"/>
  <c r="S45" i="22"/>
  <c r="S37" i="22"/>
  <c r="S38" i="22"/>
  <c r="S44" i="22"/>
  <c r="K52" i="46"/>
  <c r="K52" i="17"/>
  <c r="K51" i="17"/>
  <c r="P59" i="22"/>
  <c r="S43" i="22"/>
  <c r="P58" i="22"/>
  <c r="Q58" i="22"/>
  <c r="S46" i="22"/>
  <c r="S47" i="22"/>
  <c r="Q40" i="21"/>
  <c r="Q39" i="21"/>
  <c r="P25" i="21" s="1"/>
  <c r="Q25" i="21" s="1"/>
  <c r="R57" i="22"/>
  <c r="Q27" i="22"/>
  <c r="S11" i="22"/>
  <c r="S13" i="22"/>
  <c r="S18" i="22"/>
  <c r="S19" i="22"/>
  <c r="S20" i="22"/>
  <c r="S23" i="22"/>
  <c r="S22" i="22"/>
  <c r="S2" i="22"/>
  <c r="S12" i="22"/>
  <c r="P25" i="22"/>
  <c r="P26" i="22"/>
  <c r="Q25" i="22"/>
  <c r="Q9" i="21"/>
  <c r="Q10" i="21"/>
  <c r="Q11" i="21"/>
  <c r="Q13" i="21"/>
  <c r="Q5" i="21"/>
  <c r="Q6" i="21"/>
  <c r="Q7" i="21"/>
  <c r="S10" i="22"/>
  <c r="S21" i="22"/>
  <c r="S3" i="22"/>
  <c r="S4" i="22"/>
  <c r="S5" i="22"/>
  <c r="S6" i="22"/>
  <c r="S7" i="22"/>
  <c r="Q26" i="22"/>
  <c r="S8" i="22"/>
  <c r="P27" i="22"/>
  <c r="S15" i="22"/>
  <c r="S16" i="22"/>
  <c r="S14" i="22"/>
  <c r="G45" i="21"/>
  <c r="X5" i="21" l="1"/>
  <c r="X27" i="21" s="1"/>
  <c r="W27" i="21"/>
  <c r="M52" i="17"/>
  <c r="R59" i="22"/>
  <c r="Q60" i="22"/>
  <c r="M47" i="17"/>
  <c r="K54" i="17"/>
  <c r="M49" i="46"/>
  <c r="M46" i="17"/>
  <c r="M49" i="17" s="1"/>
  <c r="K54" i="46"/>
  <c r="L47" i="17"/>
  <c r="L52" i="46"/>
  <c r="L52" i="17"/>
  <c r="R58" i="22"/>
  <c r="R60" i="22" s="1"/>
  <c r="L51" i="46"/>
  <c r="L54" i="46" s="1"/>
  <c r="L51" i="17"/>
  <c r="K47" i="17"/>
  <c r="L46" i="17"/>
  <c r="L49" i="17" s="1"/>
  <c r="Q52" i="46"/>
  <c r="K46" i="17"/>
  <c r="M51" i="46"/>
  <c r="M54" i="46" s="1"/>
  <c r="M51" i="17"/>
  <c r="M54" i="17" s="1"/>
  <c r="P60" i="22"/>
  <c r="Q20" i="21"/>
  <c r="P27" i="21"/>
  <c r="P30" i="21" s="1"/>
  <c r="R26" i="22"/>
  <c r="R25" i="22"/>
  <c r="R27" i="22"/>
  <c r="Q28" i="22"/>
  <c r="P28" i="22"/>
  <c r="AJ22" i="18"/>
  <c r="AI22" i="18"/>
  <c r="AH22" i="18"/>
  <c r="AG22" i="18"/>
  <c r="B36" i="18"/>
  <c r="T37" i="18"/>
  <c r="S37" i="18"/>
  <c r="R37" i="18"/>
  <c r="Q37" i="18"/>
  <c r="Y5" i="21" l="1"/>
  <c r="Q52" i="17"/>
  <c r="C50" i="46"/>
  <c r="Q27" i="21"/>
  <c r="M55" i="46"/>
  <c r="Q47" i="17"/>
  <c r="C50" i="17"/>
  <c r="L49" i="46"/>
  <c r="L56" i="46" s="1"/>
  <c r="Q46" i="17"/>
  <c r="N45" i="17"/>
  <c r="D51" i="17" s="1"/>
  <c r="K49" i="17"/>
  <c r="L54" i="17"/>
  <c r="L55" i="17" s="1"/>
  <c r="N50" i="17"/>
  <c r="D47" i="17" s="1"/>
  <c r="N50" i="46"/>
  <c r="D47" i="46" s="1"/>
  <c r="C47" i="46" s="1"/>
  <c r="Q51" i="17"/>
  <c r="Q46" i="46"/>
  <c r="N45" i="46"/>
  <c r="D51" i="46" s="1"/>
  <c r="K49" i="46"/>
  <c r="M55" i="17"/>
  <c r="Q47" i="46"/>
  <c r="Q51" i="46"/>
  <c r="R28" i="22"/>
  <c r="AJ10" i="18"/>
  <c r="AI10" i="18"/>
  <c r="AH10" i="18"/>
  <c r="AG10" i="18"/>
  <c r="AJ9" i="18"/>
  <c r="AI9" i="18"/>
  <c r="AK9" i="18" s="1"/>
  <c r="AH9" i="18"/>
  <c r="AG9" i="18"/>
  <c r="AJ8" i="18"/>
  <c r="AJ11" i="18" s="1"/>
  <c r="AI8" i="18"/>
  <c r="AI11" i="18" s="1"/>
  <c r="AH8" i="18"/>
  <c r="AH11" i="18" s="1"/>
  <c r="AG8" i="18"/>
  <c r="AL8" i="18" s="1"/>
  <c r="AL23" i="18"/>
  <c r="AL22" i="18"/>
  <c r="AL20" i="18"/>
  <c r="AL19" i="18"/>
  <c r="AL17" i="18"/>
  <c r="AL16" i="18"/>
  <c r="AL15" i="18"/>
  <c r="AL14" i="18"/>
  <c r="AL13" i="18"/>
  <c r="AL12" i="18"/>
  <c r="AK23" i="18"/>
  <c r="AK22" i="18"/>
  <c r="AK20" i="18"/>
  <c r="AK19" i="18"/>
  <c r="AK17" i="18"/>
  <c r="AK16" i="18"/>
  <c r="AK15" i="18"/>
  <c r="AK14" i="18"/>
  <c r="AK13" i="18"/>
  <c r="AK12" i="18"/>
  <c r="AJ24" i="18"/>
  <c r="T23" i="18" s="1"/>
  <c r="AI24" i="18"/>
  <c r="S23" i="18" s="1"/>
  <c r="AH24" i="18"/>
  <c r="R23" i="18" s="1"/>
  <c r="AG24" i="18"/>
  <c r="Q23" i="18" s="1"/>
  <c r="AJ21" i="18"/>
  <c r="T20" i="18" s="1"/>
  <c r="AI21" i="18"/>
  <c r="S20" i="18" s="1"/>
  <c r="AH21" i="18"/>
  <c r="R20" i="18" s="1"/>
  <c r="AG21" i="18"/>
  <c r="Q20" i="18" s="1"/>
  <c r="AJ18" i="18"/>
  <c r="T17" i="18" s="1"/>
  <c r="AI18" i="18"/>
  <c r="S17" i="18" s="1"/>
  <c r="AH18" i="18"/>
  <c r="R17" i="18" s="1"/>
  <c r="AG18" i="18"/>
  <c r="Q17" i="18" s="1"/>
  <c r="Q46" i="18"/>
  <c r="T46" i="18"/>
  <c r="S46" i="18"/>
  <c r="R46" i="18"/>
  <c r="D41" i="20" l="1"/>
  <c r="D40" i="20" s="1"/>
  <c r="Q30" i="21"/>
  <c r="L55" i="46"/>
  <c r="C49" i="46"/>
  <c r="G49" i="46" s="1"/>
  <c r="L56" i="17"/>
  <c r="K55" i="46"/>
  <c r="C48" i="46"/>
  <c r="K56" i="46"/>
  <c r="G50" i="46"/>
  <c r="F50" i="46"/>
  <c r="Q53" i="46"/>
  <c r="R52" i="46" s="1"/>
  <c r="Q48" i="46"/>
  <c r="R46" i="46" s="1"/>
  <c r="Q53" i="17"/>
  <c r="R52" i="17" s="1"/>
  <c r="K56" i="17"/>
  <c r="K55" i="17"/>
  <c r="C48" i="17"/>
  <c r="C49" i="17"/>
  <c r="F49" i="46"/>
  <c r="Q48" i="17"/>
  <c r="AK18" i="18"/>
  <c r="AK11" i="18"/>
  <c r="AL9" i="18"/>
  <c r="AK21" i="18"/>
  <c r="AL24" i="18"/>
  <c r="AH25" i="18"/>
  <c r="AI25" i="18"/>
  <c r="AJ25" i="18"/>
  <c r="AK24" i="18"/>
  <c r="AL10" i="18"/>
  <c r="AK8" i="18"/>
  <c r="AG11" i="18"/>
  <c r="AL11" i="18" s="1"/>
  <c r="AL18" i="18"/>
  <c r="AL21" i="18"/>
  <c r="AK10" i="18"/>
  <c r="AG25" i="18"/>
  <c r="E49" i="46" l="1"/>
  <c r="E48" i="46"/>
  <c r="R47" i="46"/>
  <c r="S47" i="46" s="1"/>
  <c r="R51" i="46"/>
  <c r="S46" i="46" s="1"/>
  <c r="Q54" i="17"/>
  <c r="R47" i="17"/>
  <c r="S47" i="17" s="1"/>
  <c r="R51" i="17"/>
  <c r="F48" i="46"/>
  <c r="G48" i="46"/>
  <c r="Q54" i="46"/>
  <c r="AL25" i="18"/>
  <c r="AK25" i="18"/>
  <c r="S46" i="17" l="1"/>
  <c r="I44" i="18"/>
  <c r="I43" i="18"/>
  <c r="I42" i="18"/>
  <c r="I41" i="18"/>
  <c r="I40" i="18"/>
  <c r="I39" i="18"/>
  <c r="I38" i="18"/>
  <c r="I37" i="18"/>
  <c r="I36" i="18"/>
  <c r="I35" i="18"/>
  <c r="E39" i="18"/>
  <c r="D39" i="18"/>
  <c r="C39" i="18"/>
  <c r="B39" i="18"/>
  <c r="E38" i="18"/>
  <c r="D38" i="18"/>
  <c r="C38" i="18"/>
  <c r="B38" i="18"/>
  <c r="E37" i="18"/>
  <c r="D37" i="18"/>
  <c r="C37" i="18"/>
  <c r="B37" i="18"/>
  <c r="E36" i="18"/>
  <c r="D36" i="18"/>
  <c r="C36" i="18"/>
  <c r="H44" i="21" l="1"/>
  <c r="H41" i="21"/>
  <c r="H40" i="21"/>
  <c r="H37" i="21"/>
  <c r="D6" i="21" l="1"/>
  <c r="D7" i="21" s="1"/>
  <c r="D8" i="21" s="1"/>
  <c r="D9" i="21" s="1"/>
  <c r="L6" i="21"/>
  <c r="Y6" i="21" s="1"/>
  <c r="L7" i="21"/>
  <c r="Y7" i="21" s="1"/>
  <c r="L9" i="21"/>
  <c r="Y9" i="21" s="1"/>
  <c r="L10" i="21"/>
  <c r="Y10" i="21" s="1"/>
  <c r="Y11" i="21"/>
  <c r="L13" i="21"/>
  <c r="Y13" i="21" s="1"/>
  <c r="G36" i="21"/>
  <c r="G37" i="21"/>
  <c r="G38" i="21"/>
  <c r="G39" i="21"/>
  <c r="G40" i="21"/>
  <c r="G41" i="21"/>
  <c r="G42" i="21"/>
  <c r="G44" i="21"/>
  <c r="G49" i="21"/>
  <c r="D10" i="21" l="1"/>
  <c r="D11" i="21" s="1"/>
  <c r="R29" i="21"/>
  <c r="G43" i="21"/>
  <c r="G48" i="21" s="1"/>
  <c r="H43" i="21"/>
  <c r="H48" i="21" s="1"/>
  <c r="L8" i="21"/>
  <c r="Y8" i="21" s="1"/>
  <c r="L20" i="21" l="1"/>
  <c r="B2" i="20"/>
  <c r="L36" i="19"/>
  <c r="G35" i="19"/>
  <c r="F35" i="19"/>
  <c r="O35" i="19"/>
  <c r="N35" i="19"/>
  <c r="M35" i="19"/>
  <c r="O34" i="19"/>
  <c r="N34" i="19"/>
  <c r="M34" i="19"/>
  <c r="G34" i="19"/>
  <c r="F34" i="19"/>
  <c r="L33" i="19"/>
  <c r="E34" i="19"/>
  <c r="B2" i="19"/>
  <c r="B2" i="18"/>
  <c r="G50" i="17"/>
  <c r="F50" i="17"/>
  <c r="G49" i="17"/>
  <c r="F49" i="17"/>
  <c r="G48" i="17"/>
  <c r="F48" i="17"/>
  <c r="C47" i="17"/>
  <c r="E50" i="17" s="1"/>
  <c r="B2" i="17"/>
  <c r="L23" i="21" l="1"/>
  <c r="R20" i="21"/>
  <c r="E35" i="19"/>
  <c r="D36" i="19"/>
  <c r="E48" i="17"/>
  <c r="E49" i="17"/>
  <c r="I14" i="16" l="1"/>
  <c r="J14" i="16" s="1"/>
  <c r="I13" i="16"/>
  <c r="J13" i="16" s="1"/>
  <c r="O13" i="16" s="1"/>
  <c r="I12" i="16"/>
  <c r="J12" i="16" s="1"/>
  <c r="J9" i="16"/>
  <c r="J8" i="16"/>
  <c r="P8" i="16" s="1"/>
  <c r="J7" i="16"/>
  <c r="E37" i="12"/>
  <c r="E34" i="12"/>
  <c r="E28" i="12"/>
  <c r="E26" i="12"/>
  <c r="D26" i="12"/>
  <c r="C26" i="12"/>
  <c r="E19" i="12"/>
  <c r="D19" i="12"/>
  <c r="C19" i="12"/>
  <c r="F24" i="12" l="1"/>
  <c r="F25" i="12" s="1"/>
  <c r="F11" i="12"/>
  <c r="I14" i="1"/>
  <c r="J14" i="1" s="1"/>
  <c r="I13" i="1"/>
  <c r="J13" i="1" s="1"/>
  <c r="O13" i="1" s="1"/>
  <c r="I12" i="1"/>
  <c r="J12" i="1" s="1"/>
  <c r="J8" i="1"/>
  <c r="P8" i="1" s="1"/>
  <c r="J9" i="1"/>
  <c r="J7" i="1"/>
  <c r="K26" i="21" l="1"/>
  <c r="L26" i="21" s="1"/>
  <c r="R26" i="21" s="1"/>
  <c r="M26" i="22" l="1"/>
  <c r="N26" i="22" s="1"/>
  <c r="M11" i="18" l="1"/>
  <c r="L12" i="18"/>
  <c r="N12" i="18" s="1"/>
  <c r="N11" i="18"/>
  <c r="L25" i="18" l="1"/>
  <c r="M12" i="18"/>
  <c r="M25" i="18" l="1"/>
  <c r="N25" i="18"/>
  <c r="K25" i="21" l="1"/>
  <c r="U25" i="21" s="1"/>
  <c r="V25" i="21" l="1"/>
  <c r="V27" i="21" s="1"/>
  <c r="U27" i="21"/>
  <c r="R25" i="21"/>
  <c r="K27" i="21"/>
  <c r="K30" i="21" s="1"/>
  <c r="Y25" i="21" l="1"/>
  <c r="F41" i="20"/>
  <c r="E40" i="20"/>
  <c r="D68" i="49"/>
  <c r="D72" i="49"/>
  <c r="D70" i="49"/>
  <c r="D76" i="49"/>
  <c r="D79" i="49"/>
  <c r="D78" i="49"/>
  <c r="D67" i="49"/>
  <c r="D75" i="49"/>
  <c r="D80" i="49"/>
  <c r="D74" i="49"/>
  <c r="D73" i="49"/>
  <c r="D77" i="49"/>
  <c r="D71" i="49"/>
  <c r="D69" i="49"/>
  <c r="B82" i="49"/>
  <c r="F40" i="20" l="1"/>
  <c r="G41" i="20"/>
  <c r="H41" i="20" s="1"/>
  <c r="L30" i="21"/>
  <c r="R30" i="21" s="1"/>
  <c r="Y27" i="21"/>
  <c r="R27" i="21"/>
  <c r="E77" i="49"/>
  <c r="G77" i="49"/>
  <c r="G76" i="49"/>
  <c r="E76" i="49"/>
  <c r="E70" i="49"/>
  <c r="G70" i="49"/>
  <c r="E74" i="49"/>
  <c r="G74" i="49"/>
  <c r="G72" i="49"/>
  <c r="E72" i="49"/>
  <c r="E80" i="49"/>
  <c r="G80" i="49"/>
  <c r="G68" i="49"/>
  <c r="E68" i="49"/>
  <c r="E73" i="49"/>
  <c r="G73" i="49"/>
  <c r="G75" i="49"/>
  <c r="E75" i="49"/>
  <c r="E67" i="49"/>
  <c r="G67" i="49"/>
  <c r="E69" i="49"/>
  <c r="G69" i="49"/>
  <c r="E78" i="49"/>
  <c r="G78" i="49"/>
  <c r="E71" i="49"/>
  <c r="G71" i="49"/>
  <c r="E79" i="49"/>
  <c r="G79" i="49"/>
  <c r="D82" i="49"/>
  <c r="F70" i="49" s="1"/>
  <c r="C82" i="49"/>
  <c r="F79" i="49" l="1"/>
  <c r="F75" i="49"/>
  <c r="F68" i="49"/>
  <c r="F74" i="49"/>
  <c r="F77" i="49"/>
  <c r="F69" i="49"/>
  <c r="F71" i="49"/>
  <c r="F72" i="49"/>
  <c r="F80" i="49"/>
  <c r="F73" i="49"/>
  <c r="F76" i="49"/>
  <c r="F78" i="49"/>
  <c r="F67" i="4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Martin Kunev</author>
    <author>FERIEL BEN SAFTA</author>
  </authors>
  <commentList>
    <comment ref="K14" authorId="0" shapeId="0" xr:uid="{86949799-746F-4DDD-8455-F946594975AB}">
      <text>
        <r>
          <rPr>
            <b/>
            <sz val="9"/>
            <color indexed="81"/>
            <rFont val="Tahoma"/>
            <family val="2"/>
            <charset val="204"/>
          </rPr>
          <t>Martin Kunev:</t>
        </r>
        <r>
          <rPr>
            <sz val="9"/>
            <color indexed="81"/>
            <rFont val="Tahoma"/>
            <family val="2"/>
            <charset val="204"/>
          </rPr>
          <t xml:space="preserve">
Escopts + SND cheques in agencies</t>
        </r>
      </text>
    </comment>
    <comment ref="K83" authorId="1" shapeId="0" xr:uid="{50C4C676-6B71-47AE-806B-0DD573873BEA}">
      <text>
        <r>
          <rPr>
            <b/>
            <sz val="9"/>
            <color indexed="81"/>
            <rFont val="Tahoma"/>
            <family val="2"/>
          </rPr>
          <t>FERIEL BEN SAFTA:</t>
        </r>
        <r>
          <rPr>
            <sz val="9"/>
            <color indexed="81"/>
            <rFont val="Tahoma"/>
            <family val="2"/>
          </rPr>
          <t xml:space="preserve">
ENCOURS ESCOMPTE</t>
        </r>
      </text>
    </comment>
    <comment ref="L83" authorId="1" shapeId="0" xr:uid="{BCE74653-94C7-4A19-850C-7C553BB49BD2}">
      <text>
        <r>
          <rPr>
            <b/>
            <sz val="9"/>
            <color indexed="81"/>
            <rFont val="Tahoma"/>
            <family val="2"/>
          </rPr>
          <t>FERIEL BEN SAFTA:</t>
        </r>
        <r>
          <rPr>
            <sz val="9"/>
            <color indexed="81"/>
            <rFont val="Tahoma"/>
            <family val="2"/>
          </rPr>
          <t xml:space="preserve">
PORTEFEUILLE CHEQUES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FERIEL BEN SAFTA</author>
  </authors>
  <commentList>
    <comment ref="H7" authorId="0" shapeId="0" xr:uid="{3F5C2E5D-4237-49C4-8024-B97D638A8973}">
      <text>
        <r>
          <rPr>
            <b/>
            <sz val="9"/>
            <color rgb="FF000000"/>
            <rFont val="Tahoma"/>
            <family val="2"/>
          </rPr>
          <t>FERIEL BEN SAFTA:</t>
        </r>
        <r>
          <rPr>
            <sz val="9"/>
            <color rgb="FF000000"/>
            <rFont val="Tahoma"/>
            <family val="2"/>
          </rPr>
          <t xml:space="preserve">
same contract and different disbursment</t>
        </r>
      </text>
    </comment>
  </commentList>
</comments>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1A8E1B6E-C758-49F0-909B-CDF0508E19EF}" keepAlive="1" name="ThisWorkbookDataModel" description="Data Model" type="5" refreshedVersion="8" minRefreshableVersion="5">
    <dbPr connection="Data Model Connection" command="Model" commandType="1"/>
    <olapPr sendLocale="1" rowDrillCount="1000"/>
    <extLst>
      <ext xmlns:x15="http://schemas.microsoft.com/office/spreadsheetml/2010/11/main" uri="{DE250136-89BD-433C-8126-D09CA5730AF9}">
        <x15:connection id="" model="1"/>
      </ext>
    </extLst>
  </connection>
</connections>
</file>

<file path=xl/sharedStrings.xml><?xml version="1.0" encoding="utf-8"?>
<sst xmlns="http://schemas.openxmlformats.org/spreadsheetml/2006/main" count="4243" uniqueCount="2255">
  <si>
    <t>BoD</t>
  </si>
  <si>
    <t>Ch1</t>
  </si>
  <si>
    <t>Match current design Monbat &gt; Rev, EBITDA, Net Profit</t>
  </si>
  <si>
    <t>Hybrid BP</t>
  </si>
  <si>
    <t>H1 Actual</t>
  </si>
  <si>
    <t>EBITDA</t>
  </si>
  <si>
    <t>NP</t>
  </si>
  <si>
    <t>REV</t>
  </si>
  <si>
    <t>Range</t>
  </si>
  <si>
    <t>H2 Plan (Q3-Q4)</t>
  </si>
  <si>
    <t>Hybrid BP July</t>
  </si>
  <si>
    <t>Hybrid BP Sep</t>
  </si>
  <si>
    <t>YTD SEP</t>
  </si>
  <si>
    <t>H1+Q3</t>
  </si>
  <si>
    <t>BP</t>
  </si>
  <si>
    <t>D1 -H1 Actuals</t>
  </si>
  <si>
    <t>D2 - Performance</t>
  </si>
  <si>
    <t>Scenario 1</t>
  </si>
  <si>
    <t>YTD (New H1 numbers+ actuals Q3)/BP (old H1 numbers+Q3 BP)</t>
  </si>
  <si>
    <t>V1 H1 (booking issues)</t>
  </si>
  <si>
    <t>V2 Q3 Performance  (volume, etc)</t>
  </si>
  <si>
    <t>Scenario 2</t>
  </si>
  <si>
    <t>Re-set Hybrid BP</t>
  </si>
  <si>
    <t>BP&gt; adjustment H1 numbers + H2 Numbers)</t>
  </si>
  <si>
    <t>V1:  Q3 Performance  (volume, etc)</t>
  </si>
  <si>
    <t>Actuals &gt; BP (period under reporting)</t>
  </si>
  <si>
    <t>x, y, z (H1 y-y) varience)</t>
  </si>
  <si>
    <t>Forecast</t>
  </si>
  <si>
    <t>Decision&gt;</t>
  </si>
  <si>
    <t>YTD Forecast (Q4)</t>
  </si>
  <si>
    <t>(Actuals YTD SEP + Forecast Q4)</t>
  </si>
  <si>
    <t>Cons.oper perf</t>
  </si>
  <si>
    <t>Ch2</t>
  </si>
  <si>
    <t>H1 - technical varience &lt;delta&gt;reasons</t>
  </si>
  <si>
    <t>V1 - original July -100, V2&gt;updated Sep BP 110</t>
  </si>
  <si>
    <t>V2&gt; plot to the BP range (Rock bottom, Base plan, Best can do)</t>
  </si>
  <si>
    <t>YTD N-1, N, Gap Y-Y, BP (Q3 perfornance driven)</t>
  </si>
  <si>
    <t>Drill&gt;quantified values on the key variencies (economical elements)</t>
  </si>
  <si>
    <t>Ch3</t>
  </si>
  <si>
    <t>Actuals YTD Sept+ Q4 Forecast</t>
  </si>
  <si>
    <t>Rev, EBITDA, Net profit</t>
  </si>
  <si>
    <t>Plot to the  BP range (Rock bottom, Base plan, Best can do)</t>
  </si>
  <si>
    <t>Ch 4</t>
  </si>
  <si>
    <t>Y-Y (NO BP)</t>
  </si>
  <si>
    <t>* FORECAST SBU SPLIT</t>
  </si>
  <si>
    <t>Ch5</t>
  </si>
  <si>
    <t>Corporate liquidity</t>
  </si>
  <si>
    <t>Ch 6</t>
  </si>
  <si>
    <t>Financial strenght</t>
  </si>
  <si>
    <t>YTD Sep</t>
  </si>
  <si>
    <t>Highloght text &gt; factors</t>
  </si>
  <si>
    <t>YTD Sep, / As a minum inv, split presented in July &gt; compare balances as per Q1, Q2, Q3</t>
  </si>
  <si>
    <t>Highloght text &gt; variences</t>
  </si>
  <si>
    <t>ch 7</t>
  </si>
  <si>
    <t>Sales Domestic</t>
  </si>
  <si>
    <t>Ch 8</t>
  </si>
  <si>
    <t>Sales Export</t>
  </si>
  <si>
    <t>Y-Y, BP</t>
  </si>
  <si>
    <t>YTD Sept</t>
  </si>
  <si>
    <r>
      <t xml:space="preserve">Net Price and Discount to Plan (average to be based on the last pricing policy) - </t>
    </r>
    <r>
      <rPr>
        <sz val="12"/>
        <color rgb="FFC00000"/>
        <rFont val="Calibri (Body)"/>
      </rPr>
      <t>ref 4,3</t>
    </r>
    <r>
      <rPr>
        <sz val="12"/>
        <color theme="1"/>
        <rFont val="Calibri"/>
        <family val="2"/>
        <scheme val="minor"/>
      </rPr>
      <t>)</t>
    </r>
  </si>
  <si>
    <r>
      <t xml:space="preserve">Volume/Revenue Analytics &gt; Regions&gt;Top 10-15 KA to all </t>
    </r>
    <r>
      <rPr>
        <sz val="12"/>
        <color rgb="FFC00000"/>
        <rFont val="Calibri (Body)"/>
      </rPr>
      <t>(ref 4,2</t>
    </r>
    <r>
      <rPr>
        <sz val="12"/>
        <color theme="1"/>
        <rFont val="Calibri"/>
        <family val="2"/>
        <scheme val="minor"/>
      </rPr>
      <t>)</t>
    </r>
  </si>
  <si>
    <r>
      <t xml:space="preserve">Volume/Revenue performance&gt; period dynamic - new </t>
    </r>
    <r>
      <rPr>
        <sz val="12"/>
        <color rgb="FFC00000"/>
        <rFont val="Calibri (Body)"/>
      </rPr>
      <t>(period bars</t>
    </r>
    <r>
      <rPr>
        <sz val="12"/>
        <color theme="1"/>
        <rFont val="Calibri"/>
        <family val="2"/>
        <scheme val="minor"/>
      </rPr>
      <t>)</t>
    </r>
  </si>
  <si>
    <r>
      <t>Reporting object</t>
    </r>
    <r>
      <rPr>
        <sz val="12"/>
        <color rgb="FFC00000"/>
        <rFont val="Calibri (Body)"/>
      </rPr>
      <t xml:space="preserve"> 6,1</t>
    </r>
    <r>
      <rPr>
        <sz val="12"/>
        <color theme="1"/>
        <rFont val="Calibri"/>
        <family val="2"/>
        <scheme val="minor"/>
      </rPr>
      <t xml:space="preserve">+ debt coverage from </t>
    </r>
    <r>
      <rPr>
        <sz val="12"/>
        <color rgb="FFC00000"/>
        <rFont val="Calibri (Body)"/>
      </rPr>
      <t>ref 6,2</t>
    </r>
  </si>
  <si>
    <r>
      <t xml:space="preserve">Consoldiated inventory &gt; stratification by elements (ref - excel for categories + </t>
    </r>
    <r>
      <rPr>
        <sz val="12"/>
        <color rgb="FFC00000"/>
        <rFont val="Calibri (Body)"/>
      </rPr>
      <t>ref. 5.6)</t>
    </r>
  </si>
  <si>
    <r>
      <t xml:space="preserve">WC - consolidated bridge + stratification by SNA &amp; SND - </t>
    </r>
    <r>
      <rPr>
        <sz val="12"/>
        <color rgb="FFC00000"/>
        <rFont val="Calibri (Body)"/>
      </rPr>
      <t>ref. (5,1)</t>
    </r>
  </si>
  <si>
    <r>
      <t>Volume/Revenue Analytics &gt; LoB&gt; to all -</t>
    </r>
    <r>
      <rPr>
        <sz val="12"/>
        <color rgb="FFC00000"/>
        <rFont val="Calibri (Body)"/>
      </rPr>
      <t xml:space="preserve">  (ref.4.3)</t>
    </r>
  </si>
  <si>
    <r>
      <t>Volume/Revenue performance&gt; period dynamic</t>
    </r>
    <r>
      <rPr>
        <sz val="12"/>
        <color rgb="FFC00000"/>
        <rFont val="Calibri (Body)"/>
      </rPr>
      <t xml:space="preserve"> (period bars)</t>
    </r>
  </si>
  <si>
    <r>
      <t xml:space="preserve">ch2&gt; SNA &amp; SND </t>
    </r>
    <r>
      <rPr>
        <sz val="12"/>
        <color rgb="FFC00000"/>
        <rFont val="Calibri (Body)"/>
      </rPr>
      <t>(stupid table)</t>
    </r>
  </si>
  <si>
    <r>
      <t>Consoldiated Oper. Perf</t>
    </r>
    <r>
      <rPr>
        <sz val="12"/>
        <color rgb="FFC00000"/>
        <rFont val="Calibri (Body)"/>
      </rPr>
      <t xml:space="preserve"> (current Monbat BoD object)</t>
    </r>
  </si>
  <si>
    <r>
      <t>Re-set BP &gt;</t>
    </r>
    <r>
      <rPr>
        <sz val="12"/>
        <color rgb="FFC00000"/>
        <rFont val="Calibri (Body)"/>
      </rPr>
      <t xml:space="preserve"> table + visualisation</t>
    </r>
  </si>
  <si>
    <r>
      <t xml:space="preserve">Year END Forecast &gt; consolidated and bt SNA/SND </t>
    </r>
    <r>
      <rPr>
        <sz val="12"/>
        <color rgb="FFC00000"/>
        <rFont val="Calibri (Body)"/>
      </rPr>
      <t>(stupit table)</t>
    </r>
    <r>
      <rPr>
        <sz val="12"/>
        <color theme="1"/>
        <rFont val="Calibri"/>
        <family val="2"/>
        <scheme val="minor"/>
      </rPr>
      <t xml:space="preserve"> </t>
    </r>
  </si>
  <si>
    <t>H1 2022</t>
  </si>
  <si>
    <t>YTD (Q3) 2022</t>
  </si>
  <si>
    <t>Drill&gt;quantified values on the key variencies (economical elements) - raw materials/payroll/depr./other</t>
  </si>
  <si>
    <t>P&amp;L H2 2022</t>
  </si>
  <si>
    <t>2022</t>
  </si>
  <si>
    <t>H2 2022 
TOTAL</t>
  </si>
  <si>
    <t>Quarter 3</t>
  </si>
  <si>
    <t>Quarter 4</t>
  </si>
  <si>
    <t>BATTERIES BUSINESS SEGMENT</t>
  </si>
  <si>
    <t>VOLUME (pieces)</t>
  </si>
  <si>
    <t>Volume Lead Equivalent LE (kg)</t>
  </si>
  <si>
    <t>REVENUE</t>
  </si>
  <si>
    <t>COGS</t>
  </si>
  <si>
    <t>TOTAL NET CONTRIBUTION (TNC MARGIN)</t>
  </si>
  <si>
    <t>TOTAL NC %</t>
  </si>
  <si>
    <t>RECYCLING BUSINESS SEGMENT</t>
  </si>
  <si>
    <t>VOLUME (MT)</t>
  </si>
  <si>
    <t>TOTAL NET CONTRIBUTION (NC MARGIN)</t>
  </si>
  <si>
    <t>CONSOLIDATED COGS</t>
  </si>
  <si>
    <t>CONSOLIDATED TOTAL NET CONTRIBUTION (TNC)</t>
  </si>
  <si>
    <t>CONSOLIDARED TNC %</t>
  </si>
  <si>
    <t xml:space="preserve">OPEX </t>
  </si>
  <si>
    <t>EBITDA %</t>
  </si>
  <si>
    <t>EBITDA per unit sale (EUR)</t>
  </si>
  <si>
    <t>H1 2022 CONSOLIDATED EBITDA</t>
  </si>
  <si>
    <t>2022 BUSINESS PLAN/BUDGET SCENARIOS</t>
  </si>
  <si>
    <t>2022 BUDGETED EBITDA (BASE PLAN)</t>
  </si>
  <si>
    <t>(based on a blended LOB mix (see LoB Sheet), where the volumes for the Monbat stream will act as moderator LoB stream and idealy be directed to incremental increase of the export streams - CWA and Europe</t>
  </si>
  <si>
    <t xml:space="preserve">2022 BUDGETED EBITDA (ROCK BOTTOM) </t>
  </si>
  <si>
    <t>A plan, where Monbat volumes are sacrified  in order to moderate disruption on the local sourcing market</t>
  </si>
  <si>
    <t>2022 BUDGETED EBITDA (BEST CAN DO)</t>
  </si>
  <si>
    <t>A plan that next to the LOB mix of the Base Plan, we manage to lock upside due to the  incremental volume increase in export - CWA and Europe (replacing Assad export volumes)</t>
  </si>
  <si>
    <t>TOTAL NET CONTRIBUTION STRATIFICATION BY LINE OF BUSINESSES (LOB)</t>
  </si>
  <si>
    <t>LOB 1</t>
  </si>
  <si>
    <t>LoB 2 - EXPORT - Libya</t>
  </si>
  <si>
    <t>LoB 2 - EXPORT - Europe</t>
  </si>
  <si>
    <t>LoB 2 - EXPORT - GCC</t>
  </si>
  <si>
    <t>LoB 3 - Monbat stream</t>
  </si>
  <si>
    <t>LoB 2 - EXPORT - WCA</t>
  </si>
  <si>
    <t>LoB 2 - EXPORT</t>
  </si>
  <si>
    <t>LINE OF BUSINESS RANGE (LoB)</t>
  </si>
  <si>
    <t>DOMESTIC</t>
  </si>
  <si>
    <r>
      <rPr>
        <b/>
        <sz val="14"/>
        <color theme="1"/>
        <rFont val="Calibri"/>
        <family val="2"/>
        <scheme val="minor"/>
      </rPr>
      <t xml:space="preserve">EXPORT </t>
    </r>
    <r>
      <rPr>
        <sz val="14"/>
        <color theme="1"/>
        <rFont val="Calibri"/>
        <family val="2"/>
        <scheme val="minor"/>
      </rPr>
      <t xml:space="preserve">
LIBYA</t>
    </r>
  </si>
  <si>
    <r>
      <rPr>
        <b/>
        <sz val="14"/>
        <color theme="1"/>
        <rFont val="Calibri"/>
        <family val="2"/>
        <scheme val="minor"/>
      </rPr>
      <t>EXPORT</t>
    </r>
    <r>
      <rPr>
        <sz val="14"/>
        <color theme="1"/>
        <rFont val="Calibri"/>
        <family val="2"/>
        <scheme val="minor"/>
      </rPr>
      <t xml:space="preserve">
BATCAR</t>
    </r>
  </si>
  <si>
    <r>
      <rPr>
        <b/>
        <sz val="14"/>
        <color theme="1"/>
        <rFont val="Calibri"/>
        <family val="2"/>
        <scheme val="minor"/>
      </rPr>
      <t>EXPORT</t>
    </r>
    <r>
      <rPr>
        <sz val="14"/>
        <color theme="1"/>
        <rFont val="Calibri"/>
        <family val="2"/>
        <scheme val="minor"/>
      </rPr>
      <t xml:space="preserve">
BIN SHIHON</t>
    </r>
  </si>
  <si>
    <r>
      <rPr>
        <b/>
        <sz val="14"/>
        <color theme="1"/>
        <rFont val="Calibri"/>
        <family val="2"/>
        <scheme val="minor"/>
      </rPr>
      <t xml:space="preserve">MONBAT </t>
    </r>
    <r>
      <rPr>
        <sz val="14"/>
        <color theme="1"/>
        <rFont val="Calibri"/>
        <family val="2"/>
        <scheme val="minor"/>
      </rPr>
      <t xml:space="preserve">
NOUR POWER DIN</t>
    </r>
  </si>
  <si>
    <r>
      <rPr>
        <b/>
        <sz val="14"/>
        <color theme="1"/>
        <rFont val="Calibri"/>
        <family val="2"/>
        <scheme val="minor"/>
      </rPr>
      <t>MONBAT</t>
    </r>
    <r>
      <rPr>
        <sz val="14"/>
        <color theme="1"/>
        <rFont val="Calibri"/>
        <family val="2"/>
        <scheme val="minor"/>
      </rPr>
      <t xml:space="preserve">
 NOUR Premium JIS </t>
    </r>
  </si>
  <si>
    <r>
      <rPr>
        <b/>
        <sz val="14"/>
        <color theme="1"/>
        <rFont val="Calibri"/>
        <family val="2"/>
        <scheme val="minor"/>
      </rPr>
      <t>EXPORT</t>
    </r>
    <r>
      <rPr>
        <sz val="14"/>
        <color theme="1"/>
        <rFont val="Calibri"/>
        <family val="2"/>
        <scheme val="minor"/>
      </rPr>
      <t xml:space="preserve">
WEST &amp; CENTRAL AFRICA</t>
    </r>
  </si>
  <si>
    <t>TOTAL</t>
  </si>
  <si>
    <t>EUROPE</t>
  </si>
  <si>
    <t>STAND-ALONE BATTERY NET CONTRIBUTION</t>
  </si>
  <si>
    <t>RECYCLING NET CONTRIBUTION</t>
  </si>
  <si>
    <t>RECYCLING NC %</t>
  </si>
  <si>
    <t xml:space="preserve">INTEGRATED TOTAL NET CONTRIBUTION </t>
  </si>
  <si>
    <t>INTEGRATED NET CONTRIBUTION NC  %</t>
  </si>
  <si>
    <t>AVERAGE LEAD EQUIVALENT CONTENT .LE (kg)</t>
  </si>
  <si>
    <t>LOB</t>
  </si>
  <si>
    <t>Business model</t>
  </si>
  <si>
    <t>Accountability</t>
  </si>
  <si>
    <t>Segmented reporting</t>
  </si>
  <si>
    <t>KPIS</t>
  </si>
  <si>
    <t>REVENUE STRATIFICATION BY VOLUMES, LOB AND H2 CALENDAR</t>
  </si>
  <si>
    <t>DATE (Month)</t>
  </si>
  <si>
    <t>Values</t>
  </si>
  <si>
    <t>DATE (Year)</t>
  </si>
  <si>
    <t>MARKET</t>
  </si>
  <si>
    <t>RANGE</t>
  </si>
  <si>
    <t>CODE</t>
  </si>
  <si>
    <t>Jul</t>
  </si>
  <si>
    <t>Aug</t>
  </si>
  <si>
    <t>Sep</t>
  </si>
  <si>
    <t>Oct</t>
  </si>
  <si>
    <t>Nov</t>
  </si>
  <si>
    <t>Dec</t>
  </si>
  <si>
    <t>Grand Total</t>
  </si>
  <si>
    <t>m_FG_VOLUME</t>
  </si>
  <si>
    <t>Export MG</t>
  </si>
  <si>
    <t>BATCAR</t>
  </si>
  <si>
    <t>BIN SHIHON</t>
  </si>
  <si>
    <t>NOUR POWER DIN (kamina  lid BG)</t>
  </si>
  <si>
    <t>NOUR Premium JIS (Akumsan T lid JIS )</t>
  </si>
  <si>
    <t>Domestic</t>
  </si>
  <si>
    <t>Export Libya</t>
  </si>
  <si>
    <t>Export WCA</t>
  </si>
  <si>
    <t>2022 Total</t>
  </si>
  <si>
    <t>m_FG_SALES</t>
  </si>
  <si>
    <t>m_FG_av.PRICE</t>
  </si>
  <si>
    <t>Total m_FG_VOLUME</t>
  </si>
  <si>
    <t>Total m_FG_SALES</t>
  </si>
  <si>
    <t>Total m_FG_av.PRICE</t>
  </si>
  <si>
    <t>Working capital Bridge</t>
  </si>
  <si>
    <t>AR</t>
  </si>
  <si>
    <t>INV</t>
  </si>
  <si>
    <t>AP</t>
  </si>
  <si>
    <t>Ends</t>
  </si>
  <si>
    <t>Blank</t>
  </si>
  <si>
    <t>Up</t>
  </si>
  <si>
    <t>Down</t>
  </si>
  <si>
    <t>SNA</t>
  </si>
  <si>
    <t>SND</t>
  </si>
  <si>
    <t>SNR</t>
  </si>
  <si>
    <t>Inventory</t>
  </si>
  <si>
    <t>Raw Materials</t>
  </si>
  <si>
    <t>Finished Goods</t>
  </si>
  <si>
    <t>SKU_20</t>
  </si>
  <si>
    <t>FG</t>
  </si>
  <si>
    <t>SKU_19</t>
  </si>
  <si>
    <t>SKU_18</t>
  </si>
  <si>
    <t>RM</t>
  </si>
  <si>
    <t>SKU_17</t>
  </si>
  <si>
    <t>SKU_16</t>
  </si>
  <si>
    <t>SKU_15</t>
  </si>
  <si>
    <t>SKU_14</t>
  </si>
  <si>
    <t>SKU_13</t>
  </si>
  <si>
    <t>SKU_12</t>
  </si>
  <si>
    <t>SKU_11</t>
  </si>
  <si>
    <t>SKU_10</t>
  </si>
  <si>
    <t>SKU_9</t>
  </si>
  <si>
    <t>SKU_8</t>
  </si>
  <si>
    <t>SKU_7</t>
  </si>
  <si>
    <t>SKU_6</t>
  </si>
  <si>
    <t>SKU_5</t>
  </si>
  <si>
    <t>SKU_4</t>
  </si>
  <si>
    <t>SKU_3</t>
  </si>
  <si>
    <t>SKU_2</t>
  </si>
  <si>
    <t>SKU_1</t>
  </si>
  <si>
    <t>Notes</t>
  </si>
  <si>
    <t>INT Dynamics</t>
  </si>
  <si>
    <t>FX Dynamics</t>
  </si>
  <si>
    <t>FX gain</t>
  </si>
  <si>
    <t>FX losses</t>
  </si>
  <si>
    <t>Debt coverage</t>
  </si>
  <si>
    <t>Petty cash</t>
  </si>
  <si>
    <t>Cash in bank</t>
  </si>
  <si>
    <t>SNA EURO IN CASH</t>
  </si>
  <si>
    <t>SND QNB</t>
  </si>
  <si>
    <t>SND AGENCY</t>
  </si>
  <si>
    <t>NBI EURO</t>
  </si>
  <si>
    <t>SNA EURO</t>
  </si>
  <si>
    <t>SNA $</t>
  </si>
  <si>
    <t>SNA QNB</t>
  </si>
  <si>
    <t>SNA ZRIBA</t>
  </si>
  <si>
    <t>SNA THAMEUR</t>
  </si>
  <si>
    <t>EUR equivalent</t>
  </si>
  <si>
    <t>USD</t>
  </si>
  <si>
    <t>EUR</t>
  </si>
  <si>
    <t>TND</t>
  </si>
  <si>
    <t>Total theoretical available funding</t>
  </si>
  <si>
    <t>Total in negotiation</t>
  </si>
  <si>
    <t>Total contracted, not yet utilized</t>
  </si>
  <si>
    <t>inventory working capital</t>
  </si>
  <si>
    <t>facility</t>
  </si>
  <si>
    <t>September</t>
  </si>
  <si>
    <t>STB</t>
  </si>
  <si>
    <t>Medium term loan</t>
  </si>
  <si>
    <t>October</t>
  </si>
  <si>
    <t>Bank Loans - pending approval from bank</t>
  </si>
  <si>
    <t>MCNE</t>
  </si>
  <si>
    <t>Sep'22</t>
  </si>
  <si>
    <t xml:space="preserve">SNA </t>
  </si>
  <si>
    <t xml:space="preserve">working capital </t>
  </si>
  <si>
    <t>Bank Loans - contracted, no utilization yet</t>
  </si>
  <si>
    <t>3 leased cars</t>
  </si>
  <si>
    <t xml:space="preserve">financial lease </t>
  </si>
  <si>
    <t>CIL</t>
  </si>
  <si>
    <t xml:space="preserve">Lease </t>
  </si>
  <si>
    <t>7 years after utilization</t>
  </si>
  <si>
    <t>Investment SNR</t>
  </si>
  <si>
    <t>Investment loan for new recycling facility</t>
  </si>
  <si>
    <t>Bank Loans</t>
  </si>
  <si>
    <t>Overdraft facility (limit could be exceeded)</t>
  </si>
  <si>
    <t>Discount exchange letter (limit could be exceeded)</t>
  </si>
  <si>
    <t>TIP</t>
  </si>
  <si>
    <t>NBI</t>
  </si>
  <si>
    <t>12/15/2022 (renewable each 3 months)</t>
  </si>
  <si>
    <t>2 working capital facilities</t>
  </si>
  <si>
    <t xml:space="preserve">punching line </t>
  </si>
  <si>
    <t>2 disbursments Apr &amp; Jun'18</t>
  </si>
  <si>
    <t>Investment SNA2</t>
  </si>
  <si>
    <t>5 disbursments between Mar'16 and May'17</t>
  </si>
  <si>
    <t>Maturity Date</t>
  </si>
  <si>
    <t>Description of the collateral</t>
  </si>
  <si>
    <t>Contracted Limit</t>
  </si>
  <si>
    <t>Currency</t>
  </si>
  <si>
    <t>Type/purpose of the credit facility</t>
  </si>
  <si>
    <t>Contract date / Utilization</t>
  </si>
  <si>
    <t>Bank</t>
  </si>
  <si>
    <t>Borrower</t>
  </si>
  <si>
    <t>No</t>
  </si>
  <si>
    <t>Type</t>
  </si>
  <si>
    <t>TND equivalent</t>
  </si>
  <si>
    <t>Net debt</t>
  </si>
  <si>
    <t>Net debt / Annualized EBITDA</t>
  </si>
  <si>
    <t>YTD Sep'21</t>
  </si>
  <si>
    <t>YTD Sep'22</t>
  </si>
  <si>
    <t>Dec'21</t>
  </si>
  <si>
    <t>WC, Dec'21</t>
  </si>
  <si>
    <t>WC, Sep'22</t>
  </si>
  <si>
    <t>Mar'22</t>
  </si>
  <si>
    <t>Jun'22</t>
  </si>
  <si>
    <t>TIN</t>
  </si>
  <si>
    <t xml:space="preserve">SPARE PART </t>
  </si>
  <si>
    <t xml:space="preserve">BOX AND LID </t>
  </si>
  <si>
    <t>BATTERY</t>
  </si>
  <si>
    <t xml:space="preserve">BATTERY NON FORMED </t>
  </si>
  <si>
    <t xml:space="preserve">CONSUMABLE </t>
  </si>
  <si>
    <t xml:space="preserve">PLATES AND GRIDS AND BANDES </t>
  </si>
  <si>
    <t>INDUSTRIAL PLATE</t>
  </si>
  <si>
    <t>LEAD</t>
  </si>
  <si>
    <t>SEPARATEUR</t>
  </si>
  <si>
    <t>Mapping</t>
  </si>
  <si>
    <t>WIP</t>
  </si>
  <si>
    <t>Box &amp; Lid</t>
  </si>
  <si>
    <t>Formed Battery</t>
  </si>
  <si>
    <t>UF Battery</t>
  </si>
  <si>
    <t>Consumables</t>
  </si>
  <si>
    <t>Plates, grids &amp; strip</t>
  </si>
  <si>
    <t>Tin</t>
  </si>
  <si>
    <t>Spare parts</t>
  </si>
  <si>
    <t>Industrial plates</t>
  </si>
  <si>
    <t>Lead</t>
  </si>
  <si>
    <t>Separator</t>
  </si>
  <si>
    <t>CRASSE 30%</t>
  </si>
  <si>
    <t>Poudre de plomb</t>
  </si>
  <si>
    <t>PLOMB DOUX EXPORT</t>
  </si>
  <si>
    <t>PLOMB D'OEUVRE SNA</t>
  </si>
  <si>
    <t>BATTERIES USAGEES</t>
  </si>
  <si>
    <t>PLOMB 3%</t>
  </si>
  <si>
    <t>PLOMB DOUX</t>
  </si>
  <si>
    <t>ECUMAGE ET BRASSAGEUSINE</t>
  </si>
  <si>
    <t>PLOMB CALCIUM NEGATIF</t>
  </si>
  <si>
    <t>PLOMB CALCIUM  POSITIF</t>
  </si>
  <si>
    <t>PLOMB CALCIUM  NEGATIVE</t>
  </si>
  <si>
    <t>dechet strip+WIRTZ+rebut grille</t>
  </si>
  <si>
    <t>REBUT OXYDE CASSE BATTERIE</t>
  </si>
  <si>
    <t>PB SB 3.2</t>
  </si>
  <si>
    <t>REBUT GRILLE CASSE BATTERIE</t>
  </si>
  <si>
    <t>PLOMB CALCIUM CONCENTREE</t>
  </si>
  <si>
    <t>REBUT USINE</t>
  </si>
  <si>
    <t>REBUT GRILLE</t>
  </si>
  <si>
    <t>PLOMB 5%</t>
  </si>
  <si>
    <t>REBUT PLAQUE</t>
  </si>
  <si>
    <t>PB SB 3.2                                         A</t>
  </si>
  <si>
    <t>CALCIUM POSITIF</t>
  </si>
  <si>
    <t>PB CALCIUM WIRTZ</t>
  </si>
  <si>
    <t>PLOMB D'ŒUVRE ACHETEE</t>
  </si>
  <si>
    <t>REBUT ET DECHET DE PLAQUE/rebut usine</t>
  </si>
  <si>
    <t>rebut usine</t>
  </si>
  <si>
    <t>CRASSE 3%</t>
  </si>
  <si>
    <t>dechet strip+WIRTZ+rebut grille+plaque industriel</t>
  </si>
  <si>
    <t>REBUT BANDE ET GRILLE USINE</t>
  </si>
  <si>
    <t>DECHETS CHAINE DE LINGOTAGE</t>
  </si>
  <si>
    <t>Jun</t>
  </si>
  <si>
    <t>Mar</t>
  </si>
  <si>
    <t>Lead-containing</t>
  </si>
  <si>
    <t xml:space="preserve">REBUT PLAQUE ET ELEMENT </t>
  </si>
  <si>
    <t xml:space="preserve">REBUT BOBINE ET  GRILLE </t>
  </si>
  <si>
    <t>REBUT ET DECHET DE PLAQUE</t>
  </si>
  <si>
    <t>PLOMB CALCIUM  POSITIF concentree</t>
  </si>
  <si>
    <t>PLOMB DOUX FONDERIE SNA</t>
  </si>
  <si>
    <t>PLOMB CALCIUM  NEGATIF F</t>
  </si>
  <si>
    <t>PLOMB CALCIUM  NEGATIF</t>
  </si>
  <si>
    <t>CRASSE STRIP</t>
  </si>
  <si>
    <t>REBUT BANDE</t>
  </si>
  <si>
    <t>REBUT ¨PLAQUE</t>
  </si>
  <si>
    <t>REBUT PATE</t>
  </si>
  <si>
    <t>DECHET DE PLAQUE ACHETE</t>
  </si>
  <si>
    <t xml:space="preserve">PLOMB 1,8% </t>
  </si>
  <si>
    <t>REBUT OXYDE</t>
  </si>
  <si>
    <t>CALCIUM CONCENTREE</t>
  </si>
  <si>
    <t xml:space="preserve">PLOMB DOUX </t>
  </si>
  <si>
    <t>ECUMAGE,BRASSAGE ET DECUIVRAGE</t>
  </si>
  <si>
    <t>REBUT BANDE ET GRILLE USINE+CRASSE 3%</t>
  </si>
  <si>
    <t>REBUT USINE+ PATE FOSSE</t>
  </si>
  <si>
    <t>OXYDE CASSE BATTERIE</t>
  </si>
  <si>
    <t>GRILLE CASSE BATTERIE</t>
  </si>
  <si>
    <t>PLOMB D'ŒUVRE SNA</t>
  </si>
  <si>
    <t>Inventory segment</t>
  </si>
  <si>
    <t xml:space="preserve">Inventory value as at </t>
  </si>
  <si>
    <t>Lead Slag</t>
  </si>
  <si>
    <t>Lead Dust</t>
  </si>
  <si>
    <t>Scrap batteries</t>
  </si>
  <si>
    <t>Other Lead-containing RM</t>
  </si>
  <si>
    <t>Q1'22</t>
  </si>
  <si>
    <t>Q2'22</t>
  </si>
  <si>
    <t>Q3'22</t>
  </si>
  <si>
    <t>Total semi-finised goods</t>
  </si>
  <si>
    <t>Unformed Battery</t>
  </si>
  <si>
    <t>Total finished goods - Batteries</t>
  </si>
  <si>
    <t>Total Inventory</t>
  </si>
  <si>
    <t>Total Lead-containing materials</t>
  </si>
  <si>
    <t>Q3'22 vs Dec'21</t>
  </si>
  <si>
    <t>Q3'22 vs Q2'22</t>
  </si>
  <si>
    <t>Evolution Fav/(Unfav)</t>
  </si>
  <si>
    <t>TND '000</t>
  </si>
  <si>
    <t>Date</t>
  </si>
  <si>
    <t>Value in TND</t>
  </si>
  <si>
    <t>FG in SND</t>
  </si>
  <si>
    <t>BATTERY - SND</t>
  </si>
  <si>
    <t>Total non-lead materials</t>
  </si>
  <si>
    <t>RM &amp; Other</t>
  </si>
  <si>
    <t>Formed Battery, incl. SND</t>
  </si>
  <si>
    <t>Final numbers to match FS</t>
  </si>
  <si>
    <t xml:space="preserve">n ° compte </t>
  </si>
  <si>
    <t>Libéllé</t>
  </si>
  <si>
    <t xml:space="preserve">TOTAL </t>
  </si>
  <si>
    <t>Affectation Groupe</t>
  </si>
  <si>
    <t>ELEMINATIONS DEBIT</t>
  </si>
  <si>
    <t>ELEMINATIONS CREDIT</t>
  </si>
  <si>
    <t>SOLDE AU 30/09/2022 APRES CONSOLIDATION</t>
  </si>
  <si>
    <t>Affectation balance sheet &amp; Income statement</t>
  </si>
  <si>
    <t>MATIERE PREMIERE</t>
  </si>
  <si>
    <t>Stocks</t>
  </si>
  <si>
    <t>1. Materials inventory</t>
  </si>
  <si>
    <t>MATIERE CONSOMMAB.</t>
  </si>
  <si>
    <t>FOURNITURES CONSO.</t>
  </si>
  <si>
    <t>PRODUITS EN COURS</t>
  </si>
  <si>
    <t>4. Work in progress</t>
  </si>
  <si>
    <t>PRODUITS FINIS</t>
  </si>
  <si>
    <t>STOCKS DE MARCHAND</t>
  </si>
  <si>
    <t>PROVISIONS P.DEPR.STO</t>
  </si>
  <si>
    <t>Provisions stocks</t>
  </si>
  <si>
    <t>FOURNISSEURS LOCAU</t>
  </si>
  <si>
    <t>Fournisseurs &amp; comptes rattachés</t>
  </si>
  <si>
    <t>FOURNIS.LOC.EFFE.A.P</t>
  </si>
  <si>
    <t>2. Finished goods</t>
  </si>
  <si>
    <t>trade accounts payables</t>
  </si>
  <si>
    <t>FSSR RETENU DE GARANTIE</t>
  </si>
  <si>
    <t>FOURNISSEURS ETRAN.</t>
  </si>
  <si>
    <t>FOUR.FACT.N.PARVENU</t>
  </si>
  <si>
    <t>CLIENTS</t>
  </si>
  <si>
    <t>Clients et comptes rattachés</t>
  </si>
  <si>
    <t>2. Trade accounts receivables</t>
  </si>
  <si>
    <t>CLIENTS EFETS A RECEV</t>
  </si>
  <si>
    <t>CLIENTS ETRANGERS</t>
  </si>
  <si>
    <t>CLIENTS DOUTEUX/LITI</t>
  </si>
  <si>
    <t>EFFETS IMPAYES</t>
  </si>
  <si>
    <t>PRO.P.DEPR.DES.COM.T</t>
  </si>
  <si>
    <t>Provisions actifs courants</t>
  </si>
  <si>
    <t>PROV.P.DEP.DS.COM.CLI</t>
  </si>
  <si>
    <t>Provisions clients</t>
  </si>
  <si>
    <t>PROV.DEP.COM.DEB.DIV</t>
  </si>
  <si>
    <t>BANQUES</t>
  </si>
  <si>
    <t>Liquidités et équivalents de liquidités</t>
  </si>
  <si>
    <t>Provisions pour dépréciation des comptes financiers</t>
  </si>
  <si>
    <t>Provisions pour dépréciation des Liquidités et équivalents de liquidités</t>
  </si>
  <si>
    <t>Total</t>
  </si>
  <si>
    <t>Total per BS</t>
  </si>
  <si>
    <t>SND (after elimination)</t>
  </si>
  <si>
    <t>Check</t>
  </si>
  <si>
    <t>SNA (after elimination)</t>
  </si>
  <si>
    <t>SNR (after elimination)</t>
  </si>
  <si>
    <t>Total WC</t>
  </si>
  <si>
    <t>WC Sep'22</t>
  </si>
  <si>
    <t>Date/Indicators</t>
  </si>
  <si>
    <t>Euro</t>
  </si>
  <si>
    <t>Dec'22</t>
  </si>
  <si>
    <t>Balance at 31-Dec-21</t>
  </si>
  <si>
    <t>Total bank debt</t>
  </si>
  <si>
    <t>Total net debt</t>
  </si>
  <si>
    <t>SOLDE AU 31/12/2021 Avant CONSOLIDATION</t>
  </si>
  <si>
    <t>SOLDE AU 31/12/2021 APRES CONSOLIDATION</t>
  </si>
  <si>
    <t>AFFECTATION BILAN consolidé  2021</t>
  </si>
  <si>
    <t>FOUR.LOC.EFF.A.P.I.GRO</t>
  </si>
  <si>
    <t>WC Dec'21</t>
  </si>
  <si>
    <t>Avg.FX</t>
  </si>
  <si>
    <t>Full year EBITDA</t>
  </si>
  <si>
    <t>III. Financial income</t>
  </si>
  <si>
    <t>II. Financial expenses</t>
  </si>
  <si>
    <t>1. Interest expenses</t>
  </si>
  <si>
    <t>2-1210</t>
  </si>
  <si>
    <t>4. Gains from foreign exchange operations</t>
  </si>
  <si>
    <t>2-1740</t>
  </si>
  <si>
    <t>5. Other financial income</t>
  </si>
  <si>
    <t>2-1745</t>
  </si>
  <si>
    <t>3. Losses from foreign exchange operations</t>
  </si>
  <si>
    <t>2-1230</t>
  </si>
  <si>
    <t>Total financial income</t>
  </si>
  <si>
    <t>2-1700</t>
  </si>
  <si>
    <t xml:space="preserve">4. Other financial expenses </t>
  </si>
  <si>
    <t>2-1240</t>
  </si>
  <si>
    <t>Total financial expenses:</t>
  </si>
  <si>
    <t>2-1200</t>
  </si>
  <si>
    <t>FX &amp; Bank chages</t>
  </si>
  <si>
    <t>EUR'000</t>
  </si>
  <si>
    <t>Interest cost</t>
  </si>
  <si>
    <t>FX rate as per Central bank of Tunisia</t>
  </si>
  <si>
    <t>(TND 1.6m paid-in cash capital in SNR in Dec'21)</t>
  </si>
  <si>
    <t>Volume (Pcs)</t>
  </si>
  <si>
    <t>Total NCM
(ÉUR '000)</t>
  </si>
  <si>
    <t>Revenue
(EUR '000)</t>
  </si>
  <si>
    <t>Sales by territory</t>
  </si>
  <si>
    <t>KA 1</t>
  </si>
  <si>
    <t>Region 1</t>
  </si>
  <si>
    <t>KA 2</t>
  </si>
  <si>
    <t>Region 2</t>
  </si>
  <si>
    <t>KA 3</t>
  </si>
  <si>
    <t>Region 3</t>
  </si>
  <si>
    <t>KA 4</t>
  </si>
  <si>
    <t>Region 4</t>
  </si>
  <si>
    <t>KA 5</t>
  </si>
  <si>
    <t>Region 5</t>
  </si>
  <si>
    <t>KA 6</t>
  </si>
  <si>
    <t>Region 6</t>
  </si>
  <si>
    <t>KA 7</t>
  </si>
  <si>
    <t>KA 8</t>
  </si>
  <si>
    <t>KA 9</t>
  </si>
  <si>
    <t>KA 10</t>
  </si>
  <si>
    <t>Other clients</t>
  </si>
  <si>
    <t>KA coverage</t>
  </si>
  <si>
    <t>UANet price - KA</t>
  </si>
  <si>
    <t>UANC- KA</t>
  </si>
  <si>
    <t>Collection rate</t>
  </si>
  <si>
    <t>On-time</t>
  </si>
  <si>
    <t>Overdue</t>
  </si>
  <si>
    <t>Total NC (EUR' 000)</t>
  </si>
  <si>
    <t>Actual Unit NCM</t>
  </si>
  <si>
    <t>Target Unit NC</t>
  </si>
  <si>
    <t>SKU 1</t>
  </si>
  <si>
    <t>SKU 2</t>
  </si>
  <si>
    <t>SKU 3</t>
  </si>
  <si>
    <t>SKU 4</t>
  </si>
  <si>
    <t>SKU 5</t>
  </si>
  <si>
    <t>SKU 6</t>
  </si>
  <si>
    <t>SKU 7</t>
  </si>
  <si>
    <t>SKU 8</t>
  </si>
  <si>
    <t>SKU 9</t>
  </si>
  <si>
    <t>SKU 10</t>
  </si>
  <si>
    <t>SKU 11</t>
  </si>
  <si>
    <t>SKU 12</t>
  </si>
  <si>
    <t>SKU 13</t>
  </si>
  <si>
    <t>SKU 14</t>
  </si>
  <si>
    <t xml:space="preserve">Total </t>
  </si>
  <si>
    <t>Coverage TOP 14 SKUs</t>
  </si>
  <si>
    <t>Matched volume target</t>
  </si>
  <si>
    <t>Utilized</t>
  </si>
  <si>
    <t>Non-utilized</t>
  </si>
  <si>
    <t>EUR '000</t>
  </si>
  <si>
    <t>-43k batteries</t>
  </si>
  <si>
    <t>Rev, EBITDA</t>
  </si>
  <si>
    <t>YTD vs PY</t>
  </si>
  <si>
    <t>Consolidated</t>
  </si>
  <si>
    <t>H1 V2 + BP Q3</t>
  </si>
  <si>
    <t>! Slide - SNA/1 slide - SND</t>
  </si>
  <si>
    <t>EUR' 000</t>
  </si>
  <si>
    <t>Cummulative Key Results Bridge</t>
  </si>
  <si>
    <t>Revenue</t>
  </si>
  <si>
    <t>Var</t>
  </si>
  <si>
    <t>NC</t>
  </si>
  <si>
    <t>Net Profit</t>
  </si>
  <si>
    <t xml:space="preserve">TND </t>
  </si>
  <si>
    <t xml:space="preserve">EUR </t>
  </si>
  <si>
    <t>2022 YTD Sep</t>
  </si>
  <si>
    <t>2021 YTD Sep</t>
  </si>
  <si>
    <t>EBITDA, kEUR</t>
  </si>
  <si>
    <t>Delta</t>
  </si>
  <si>
    <t>Total, excl. TIP/NBI</t>
  </si>
  <si>
    <t>EBIT</t>
  </si>
  <si>
    <t>EBT</t>
  </si>
  <si>
    <t>Provision for returned batteries</t>
  </si>
  <si>
    <t>Qtr4</t>
  </si>
  <si>
    <t>m_FG_LE (kg)</t>
  </si>
  <si>
    <t>m_FG_COST before D&amp;A</t>
  </si>
  <si>
    <t>m_FG_TNC before D&amp;A</t>
  </si>
  <si>
    <t>m_FG_av.NC before D&amp;A %</t>
  </si>
  <si>
    <t>m_LA_VOLUME</t>
  </si>
  <si>
    <t>m_LA_SALES</t>
  </si>
  <si>
    <t>m_LA_COST before D&amp;A</t>
  </si>
  <si>
    <t>m_LA_TNC before D&amp;A</t>
  </si>
  <si>
    <t>m_COST before D&amp;A</t>
  </si>
  <si>
    <t>m_TNC before D&amp;A</t>
  </si>
  <si>
    <t>m_av.NC before D&amp;A %</t>
  </si>
  <si>
    <t>m_OPEX before D&amp;A</t>
  </si>
  <si>
    <t>m_EBITDA</t>
  </si>
  <si>
    <t>m_EBITDA %</t>
  </si>
  <si>
    <t>m_SALES - SNA</t>
  </si>
  <si>
    <t>m_COST before D&amp;A - SNA</t>
  </si>
  <si>
    <t>m_TNC before D&amp;A - SNA</t>
  </si>
  <si>
    <t>m_av.NC before D&amp;A % - SNA</t>
  </si>
  <si>
    <t>m_OPEX before D&amp;A - SNA</t>
  </si>
  <si>
    <t>m_EBITDA - SNA</t>
  </si>
  <si>
    <t>m_EBITDA % - SNA</t>
  </si>
  <si>
    <t>m_SALES - SND</t>
  </si>
  <si>
    <t>m_COST before D&amp;A - SND</t>
  </si>
  <si>
    <t>m_TNC before D&amp;A - SND</t>
  </si>
  <si>
    <t>m_av.NC before D&amp;A % - SND</t>
  </si>
  <si>
    <t>m_OPEX before D&amp;A - SND</t>
  </si>
  <si>
    <t>m_EBITDA - SND</t>
  </si>
  <si>
    <t>m_EBITDA % - SND</t>
  </si>
  <si>
    <t>YTD Sep 2022</t>
  </si>
  <si>
    <t>BP Q4 2022</t>
  </si>
  <si>
    <t>FORECAST 2022</t>
  </si>
  <si>
    <t>YTD Sep 2021</t>
  </si>
  <si>
    <t>m_FG_VOLUME - SND</t>
  </si>
  <si>
    <t>m_FG_LE (kg) - SND</t>
  </si>
  <si>
    <r>
      <t xml:space="preserve">Year END Forecast &gt; consolidated and bt SNA/SND </t>
    </r>
    <r>
      <rPr>
        <sz val="11"/>
        <color rgb="FFC00000"/>
        <rFont val="Calibri"/>
        <family val="2"/>
        <charset val="204"/>
        <scheme val="minor"/>
      </rPr>
      <t>(stupit table)</t>
    </r>
    <r>
      <rPr>
        <sz val="11"/>
        <color theme="1"/>
        <rFont val="Calibri"/>
        <family val="2"/>
        <charset val="204"/>
        <scheme val="minor"/>
      </rPr>
      <t xml:space="preserve"> </t>
    </r>
  </si>
  <si>
    <t>Fcst Q4</t>
  </si>
  <si>
    <t>YTD Sep'22 Act.</t>
  </si>
  <si>
    <t>FY21 Act</t>
  </si>
  <si>
    <t>Var to BP</t>
  </si>
  <si>
    <t>Var to FY21</t>
  </si>
  <si>
    <t>Expense for materials</t>
  </si>
  <si>
    <t>Change in inventory</t>
  </si>
  <si>
    <t>GROSS CONTRIBUTION</t>
  </si>
  <si>
    <t>Sales revenue</t>
  </si>
  <si>
    <t>Other revenue</t>
  </si>
  <si>
    <t>Total revenues</t>
  </si>
  <si>
    <t>Personnel expenses</t>
  </si>
  <si>
    <t>Other expenses</t>
  </si>
  <si>
    <t>Depreciation charges</t>
  </si>
  <si>
    <t>Other &amp; Cons. Adj.</t>
  </si>
  <si>
    <t>SNR/TIP/NBI</t>
  </si>
  <si>
    <t>FY22 Base Plan</t>
  </si>
  <si>
    <t>Net finance charges</t>
  </si>
  <si>
    <t>Other income</t>
  </si>
  <si>
    <t>Other expense</t>
  </si>
  <si>
    <t>Income tax</t>
  </si>
  <si>
    <t>Net profit</t>
  </si>
  <si>
    <t>Total net consolidated profit</t>
  </si>
  <si>
    <t>Pertaining to minority shareholders</t>
  </si>
  <si>
    <t>Pertaining to owners of the parent</t>
  </si>
  <si>
    <t>Applicable FX rate</t>
  </si>
  <si>
    <t>YoY Var</t>
  </si>
  <si>
    <t>% of Rev</t>
  </si>
  <si>
    <t>Total Expenses</t>
  </si>
  <si>
    <t>EUR %</t>
  </si>
  <si>
    <t>Local Sales Revenue</t>
  </si>
  <si>
    <t>Export Sales Revenue</t>
  </si>
  <si>
    <t>Other Revenues</t>
  </si>
  <si>
    <t>Total sales revenues</t>
  </si>
  <si>
    <t>NOUR consolidated</t>
  </si>
  <si>
    <t>Unit averages</t>
  </si>
  <si>
    <t>Unit Averages</t>
  </si>
  <si>
    <t>Price</t>
  </si>
  <si>
    <t>1. Interest rate due to incease of the WC employed</t>
  </si>
  <si>
    <t>Profitability dynamics (EURs)</t>
  </si>
  <si>
    <t>Unfavourable raw materials</t>
  </si>
  <si>
    <t>Targeted labour costs increase</t>
  </si>
  <si>
    <t>Bank interest due to WC increase</t>
  </si>
  <si>
    <r>
      <t xml:space="preserve">1. LME&gt;12,5%
</t>
    </r>
    <r>
      <rPr>
        <b/>
        <sz val="10"/>
        <color rgb="FF00B050"/>
        <rFont val="Calibri"/>
        <family val="2"/>
        <scheme val="minor"/>
      </rPr>
      <t xml:space="preserve">2. Domestic volume growth &gt; 9% volume, </t>
    </r>
    <r>
      <rPr>
        <sz val="10"/>
        <color rgb="FF00B050"/>
        <rFont val="Calibri"/>
        <family val="2"/>
        <scheme val="minor"/>
      </rPr>
      <t xml:space="preserve">
3. Price increase, lead to 24% Revenue growth - domestic</t>
    </r>
  </si>
  <si>
    <r>
      <rPr>
        <b/>
        <sz val="11"/>
        <color rgb="FFC00000"/>
        <rFont val="Calibri"/>
        <family val="2"/>
        <scheme val="minor"/>
      </rPr>
      <t>PERSONNEL EXPENSES</t>
    </r>
    <r>
      <rPr>
        <sz val="11"/>
        <color rgb="FFC00000"/>
        <rFont val="Calibri"/>
        <family val="2"/>
        <charset val="204"/>
        <scheme val="minor"/>
      </rPr>
      <t xml:space="preserve">
1) 187k Accrucals (re-class issue)
2) 66k production workforce &gt; Salary indexation + capacity &gt;450-500k pcs
3) 54k EUR  Business OPEX &gt; Senior managers, salary indexation
4) 57K EUR Runing cost of SNR
</t>
    </r>
    <r>
      <rPr>
        <b/>
        <sz val="11"/>
        <color rgb="FFC00000"/>
        <rFont val="Calibri"/>
        <family val="2"/>
        <scheme val="minor"/>
      </rPr>
      <t>OTHER EXPENSES
1.</t>
    </r>
    <r>
      <rPr>
        <sz val="11"/>
        <color rgb="FFC00000"/>
        <rFont val="Calibri"/>
        <family val="2"/>
        <scheme val="minor"/>
      </rPr>
      <t xml:space="preserve"> Non-recurring (40%) - 87k EUR (SNR  related + advocat)
2. Protection materials (partial re-class (80%) and cost increase  (37%) - 56k EUR </t>
    </r>
    <r>
      <rPr>
        <sz val="11"/>
        <color rgb="FFC00000"/>
        <rFont val="Calibri"/>
        <family val="2"/>
        <charset val="204"/>
        <scheme val="minor"/>
      </rPr>
      <t xml:space="preserve">
</t>
    </r>
  </si>
  <si>
    <t xml:space="preserve">Unfavourable price varience of raw materials - 20% on Y-t-Y basis. The participation is
a) Lead equivalents - 44%
b) Key materials and reagents - 56%
On the flip side, there is a fav, effect of EUR +0.2m from lead extraction from drosses </t>
  </si>
  <si>
    <t>Two-staged market price adjustment, combined with lag-time on SNA side and same level of mark-up</t>
  </si>
  <si>
    <t>Bank interest due to the increased WC</t>
  </si>
  <si>
    <t>Notes:</t>
  </si>
  <si>
    <t>Sum of Amout in EUR</t>
  </si>
  <si>
    <t>Sum of Quantity</t>
  </si>
  <si>
    <t>Row Labels</t>
  </si>
  <si>
    <t>Local - SND</t>
  </si>
  <si>
    <t>SKU</t>
  </si>
  <si>
    <t>Sales rev.</t>
  </si>
  <si>
    <t>Sales Q-ty</t>
  </si>
  <si>
    <t>Client</t>
  </si>
  <si>
    <t>Avg. price in TND</t>
  </si>
  <si>
    <t>INDUST. MECANIQ. MAGHREBINES</t>
  </si>
  <si>
    <t>Agency GABES</t>
  </si>
  <si>
    <t>10S3</t>
  </si>
  <si>
    <t>HAJJI MALEK BEN MED LAID</t>
  </si>
  <si>
    <t>Agency GAFSA</t>
  </si>
  <si>
    <t>10S2</t>
  </si>
  <si>
    <t>MOHAMED GHARIANI</t>
  </si>
  <si>
    <t>Agency JENDOUBA</t>
  </si>
  <si>
    <t>10PM11</t>
  </si>
  <si>
    <t>UNIVERS ELECT.AUTOS HOSNI</t>
  </si>
  <si>
    <t>Agency MEGRINE</t>
  </si>
  <si>
    <t>10PM10</t>
  </si>
  <si>
    <t>M. DEF.NAT.-D.MAT.ROUL.&amp;ESSE</t>
  </si>
  <si>
    <t>Agency SFAX</t>
  </si>
  <si>
    <t>10PL3</t>
  </si>
  <si>
    <t>STE DES PIECES DE RECHANGE</t>
  </si>
  <si>
    <t>Agency SOUSSE</t>
  </si>
  <si>
    <t>10M15</t>
  </si>
  <si>
    <t>MIN.INTER.- D.GLE.SURETE NAT</t>
  </si>
  <si>
    <t>10S1</t>
  </si>
  <si>
    <t>GENERALE ELECT.AUTOMOBILE</t>
  </si>
  <si>
    <t>10PRM10</t>
  </si>
  <si>
    <t>FAKHREDDINE SAKYES</t>
  </si>
  <si>
    <t>10M14</t>
  </si>
  <si>
    <t>HAKIM BEN SADOK KHEMIS</t>
  </si>
  <si>
    <t>10PL1</t>
  </si>
  <si>
    <t>10PL2</t>
  </si>
  <si>
    <t>CLIENT PASSAGER ASJ</t>
  </si>
  <si>
    <t>10PM12</t>
  </si>
  <si>
    <t>CLIENT PASSAGER - MEGRINE</t>
  </si>
  <si>
    <t>10M15S</t>
  </si>
  <si>
    <t>STE KACEM ET FRERES</t>
  </si>
  <si>
    <t>10S5</t>
  </si>
  <si>
    <t>MIN INTER.-D.GEN. GARDE NAT.</t>
  </si>
  <si>
    <t>10PRL2</t>
  </si>
  <si>
    <t>SOCIETE     T I P S</t>
  </si>
  <si>
    <t>10D26</t>
  </si>
  <si>
    <t>F.I.A.M</t>
  </si>
  <si>
    <t>10PRL3</t>
  </si>
  <si>
    <t>AOUINI SAFOUANE</t>
  </si>
  <si>
    <t>10MAR200</t>
  </si>
  <si>
    <t>GOLDS FILTRES</t>
  </si>
  <si>
    <t>10PRM11</t>
  </si>
  <si>
    <t>MOHAMED ZARAGA  Z P A</t>
  </si>
  <si>
    <t>10PL5</t>
  </si>
  <si>
    <t>SEIFEDDINE BEN ALI</t>
  </si>
  <si>
    <t>10D31</t>
  </si>
  <si>
    <t>SAMI BEN EZZEDINE B ABDALLAH</t>
  </si>
  <si>
    <t>10M16</t>
  </si>
  <si>
    <t>BELLIL MED FADHEL B.HAMMOUDA</t>
  </si>
  <si>
    <t>10PR110</t>
  </si>
  <si>
    <t>CARREFOUR BATTERIES</t>
  </si>
  <si>
    <t>10PRL1</t>
  </si>
  <si>
    <t>KHAMIS FAHIM BEN SADOK</t>
  </si>
  <si>
    <t>10PRM12</t>
  </si>
  <si>
    <t>KHENFIR MOHAMED LAMJED</t>
  </si>
  <si>
    <t>10PRM11D</t>
  </si>
  <si>
    <t>ARBI BEN ALIU GHARBI</t>
  </si>
  <si>
    <t>10NS40</t>
  </si>
  <si>
    <t>STE HAJ TAIEB PIECES.RECHANG</t>
  </si>
  <si>
    <t>10D31D</t>
  </si>
  <si>
    <t>AMMAR B. ABDERRAHMEN GHRIBI</t>
  </si>
  <si>
    <t>10S6</t>
  </si>
  <si>
    <t>MARWEN BEN MED BEN HLIMA</t>
  </si>
  <si>
    <t>10M16S</t>
  </si>
  <si>
    <t>S.T.E.G.</t>
  </si>
  <si>
    <t>10PRL1B</t>
  </si>
  <si>
    <t>HAMDI NOUREDDINE  "SRB"</t>
  </si>
  <si>
    <t>10HD2</t>
  </si>
  <si>
    <t>ANIS BEN KHALIPHA RHAIEM</t>
  </si>
  <si>
    <t>10HD10</t>
  </si>
  <si>
    <t>HAMDI BAYA ECHATTI</t>
  </si>
  <si>
    <t>10M16DB</t>
  </si>
  <si>
    <t>GHARBI HASSEN BEN ELAID</t>
  </si>
  <si>
    <t>10D26D</t>
  </si>
  <si>
    <t>SIRAJ BEN ZINA</t>
  </si>
  <si>
    <t>10PRL3B</t>
  </si>
  <si>
    <t>STE GLOBALE BATTERIES DAOUDI</t>
  </si>
  <si>
    <t>10HD3</t>
  </si>
  <si>
    <t>GHIDHAOUI DORSAF</t>
  </si>
  <si>
    <t>10PRL2B</t>
  </si>
  <si>
    <t>SAMI GALLAS</t>
  </si>
  <si>
    <t>10NS60</t>
  </si>
  <si>
    <t>STE.PCS AUTOS.EQUIP.AGRICOLE</t>
  </si>
  <si>
    <t>10PL1B</t>
  </si>
  <si>
    <t>STE ELECTRICIA AUTO</t>
  </si>
  <si>
    <t>10HD11</t>
  </si>
  <si>
    <t>MIN INTER.-PROTECTION CIVILE</t>
  </si>
  <si>
    <t>10PL1G</t>
  </si>
  <si>
    <t>YAAKOUBI AMMAR B MED B AMMAR</t>
  </si>
  <si>
    <t>10PRM10D</t>
  </si>
  <si>
    <t>STE.GEANT PICES AUTO&amp;MEUBLE</t>
  </si>
  <si>
    <t>10S3EFB</t>
  </si>
  <si>
    <t>MOHAMED TAHER TNANCHA</t>
  </si>
  <si>
    <t>10S2EFB</t>
  </si>
  <si>
    <t>LE MATERIEL AGRICOLE</t>
  </si>
  <si>
    <t>10PL2G</t>
  </si>
  <si>
    <t>S.G.P</t>
  </si>
  <si>
    <t>15-5EPZS625</t>
  </si>
  <si>
    <t>SKANDER MABROUK</t>
  </si>
  <si>
    <t>10D23</t>
  </si>
  <si>
    <t>S O R E T R A S</t>
  </si>
  <si>
    <t>10PL2B</t>
  </si>
  <si>
    <t>MOHAMED AMINE BEN AMOR</t>
  </si>
  <si>
    <t>10PL3B</t>
  </si>
  <si>
    <t>ALI JRIBI</t>
  </si>
  <si>
    <t>10NS40G</t>
  </si>
  <si>
    <t>FATHI BEN FRADJ AZOUZI</t>
  </si>
  <si>
    <t>10S5EFB</t>
  </si>
  <si>
    <t>BEN ALI HAMDI</t>
  </si>
  <si>
    <t>10M14MF</t>
  </si>
  <si>
    <t>STE CENTRE NAOUALI SERVICES</t>
  </si>
  <si>
    <t>10M15SMF</t>
  </si>
  <si>
    <t>EZZINE MED RAOUF B.ABDERAOUF</t>
  </si>
  <si>
    <t xml:space="preserve">                 S J D A</t>
  </si>
  <si>
    <t>HADHRI MOUHED BEN HAMOUDA</t>
  </si>
  <si>
    <t>MABROUK BEN SALAH HAMMOURI</t>
  </si>
  <si>
    <t>SOCIETE AUTOS PIECES</t>
  </si>
  <si>
    <t>MAJED BEN MED HAMMAMI</t>
  </si>
  <si>
    <t>CLIENT PASSAGER - GABES</t>
  </si>
  <si>
    <t>FIRST AUTOMOTIVE</t>
  </si>
  <si>
    <t>SOCIETE CHAABANE ET CIE</t>
  </si>
  <si>
    <t>STE B.ABDESSALEM PIECES AUTO</t>
  </si>
  <si>
    <t>SOCIETE DE ROUTE ET BATIMENT</t>
  </si>
  <si>
    <t>AMOR B.SADEK AOUDH</t>
  </si>
  <si>
    <t>STE GENERALE AUTO DU SUD</t>
  </si>
  <si>
    <t>STE    N S P C    TUNISIA</t>
  </si>
  <si>
    <t>STE BOUAOUAJA PCES .RECHANGE</t>
  </si>
  <si>
    <t>M'BAREK BEN SALAH  NASRI</t>
  </si>
  <si>
    <t>CLIENT SG</t>
  </si>
  <si>
    <t>OFF NAT D'ASSAINISSEMENT</t>
  </si>
  <si>
    <t>STE CO P E M</t>
  </si>
  <si>
    <t>SADOK RHOUMA</t>
  </si>
  <si>
    <t>STE CDTPR</t>
  </si>
  <si>
    <t>STE BELMABROUK DES TRAVAUX</t>
  </si>
  <si>
    <t>STE REG. DE TRANSP.-BIZERTE</t>
  </si>
  <si>
    <t>SOCIETE WORLD PARTS</t>
  </si>
  <si>
    <t>GHARBI JALEL BEN BRAHIM</t>
  </si>
  <si>
    <t>S T C I</t>
  </si>
  <si>
    <t>STE AL BARAKA EQUIP.GENERALE</t>
  </si>
  <si>
    <t>MOHAMED RACHED AMAMOU</t>
  </si>
  <si>
    <t>BEDOUI MANEL BT ALI</t>
  </si>
  <si>
    <t>MOHAMED AYOUB TOUNSI</t>
  </si>
  <si>
    <t>STE BEST BATTERIE</t>
  </si>
  <si>
    <t>STE REKIK AUTOS</t>
  </si>
  <si>
    <t>STE GENERALE EQUIP.MARITIME</t>
  </si>
  <si>
    <t>JALEL BEN AHMED EL GABSI</t>
  </si>
  <si>
    <t>MOHAMED BOUAZIZ</t>
  </si>
  <si>
    <t>STE ZORRAGA PICES AUTOS</t>
  </si>
  <si>
    <t>CHEDLY AOUINI</t>
  </si>
  <si>
    <t>KHROUF BAGHDADI B BOULBABA</t>
  </si>
  <si>
    <t>T T S</t>
  </si>
  <si>
    <t>KHALED SALLAY</t>
  </si>
  <si>
    <t>PERSONNEL  NOUR</t>
  </si>
  <si>
    <t>MISSAOUI RIBEH BENT ARBI</t>
  </si>
  <si>
    <t>STE.REG. DE TRAN. ELGOUAFEL</t>
  </si>
  <si>
    <t>STE LAHBIB PIECES RECH-PNEUS</t>
  </si>
  <si>
    <t>BAAZAOUI SALAH</t>
  </si>
  <si>
    <t>TAIEB GHRIBI</t>
  </si>
  <si>
    <t>COMPTOIR METOUIEN AUTOMOBILE</t>
  </si>
  <si>
    <t>STE ELWASAT</t>
  </si>
  <si>
    <t>SAMIR BEN SLIMEN AOUADI</t>
  </si>
  <si>
    <t>CARREFOUR BETTERIES GADHOUM</t>
  </si>
  <si>
    <t>STE     SCAPA</t>
  </si>
  <si>
    <t>COMPTOIR PIECES AUTO ET</t>
  </si>
  <si>
    <t>SALEM AGIL</t>
  </si>
  <si>
    <t>COPI  AUTOS</t>
  </si>
  <si>
    <t>SOCIETE ZAGHLA FRERES</t>
  </si>
  <si>
    <t>LAJNEF SAMI BEN MOHAMED</t>
  </si>
  <si>
    <t>STE COGEP AUTO</t>
  </si>
  <si>
    <t>TUNIS AIR HANDLING</t>
  </si>
  <si>
    <t>STE SARRA AUTO</t>
  </si>
  <si>
    <t>MONCEF BEN HABIB CHERNI</t>
  </si>
  <si>
    <t>STE. REG. TRANSP. MEDDENINE</t>
  </si>
  <si>
    <t>S O G E M</t>
  </si>
  <si>
    <t>ROJDI BEN MOHAMED KRAOUII</t>
  </si>
  <si>
    <t>MUNICIPALITE DE TUNIS</t>
  </si>
  <si>
    <t>NOUREDDINE ZOUCH</t>
  </si>
  <si>
    <t>BOUAZIZ SLAH</t>
  </si>
  <si>
    <t>STE HSOUNA FRIKHA ET FILS</t>
  </si>
  <si>
    <t>SOCIETE GENERAL DE PNEUS</t>
  </si>
  <si>
    <t>MOHSEN ZARAGA</t>
  </si>
  <si>
    <t>ALIBI YASSMINA BENT FARHAT</t>
  </si>
  <si>
    <t>S I A  BEN JEMAA ET CIE</t>
  </si>
  <si>
    <t>RHIM CHEDLY</t>
  </si>
  <si>
    <t>BEJI FAYCEL</t>
  </si>
  <si>
    <t>OMEGA PIECES</t>
  </si>
  <si>
    <t>S M E A</t>
  </si>
  <si>
    <t>AHMED ALI IMEN</t>
  </si>
  <si>
    <t>GUIDARA ABDALLAH</t>
  </si>
  <si>
    <t>STE EL HAMDI PIECES.RECHANGE</t>
  </si>
  <si>
    <t>STE DITRI-FILTRE</t>
  </si>
  <si>
    <t>ABDALLAH MOHAMED B.AHMED</t>
  </si>
  <si>
    <t>STE LIZIDI ACCESSOIRES AUTOS</t>
  </si>
  <si>
    <t>SAIDA SARRAY VEUVE FENINA</t>
  </si>
  <si>
    <t>MOURAD THABET</t>
  </si>
  <si>
    <t>JAADI MONCEF</t>
  </si>
  <si>
    <t>S. T. A. M.</t>
  </si>
  <si>
    <t>SOKAP AUTOS</t>
  </si>
  <si>
    <t>STE EQUIP.INDUSTRIEL &amp; MARIT</t>
  </si>
  <si>
    <t>FATHI NAJJAR</t>
  </si>
  <si>
    <t>ZIED B.MED ALI B.SAADI AYARI</t>
  </si>
  <si>
    <t>GHARBI BILEL BEN ELARBI</t>
  </si>
  <si>
    <t>JILANI BEN AHMED CHNINA</t>
  </si>
  <si>
    <t>STE EQUIP.GEN.BAROUDI[E.G.B]</t>
  </si>
  <si>
    <t>STE LUMIERE TRANSPORT</t>
  </si>
  <si>
    <t>JAMEL BEN HEDI BEN KHSIB</t>
  </si>
  <si>
    <t>HICHEM BEN IBRAHIM RAHALI</t>
  </si>
  <si>
    <t>HAROUNI HAFSIA BT MOHAMED</t>
  </si>
  <si>
    <t>STE MATEUR DE PIECES AUTOS</t>
  </si>
  <si>
    <t>MOHAMED BEN MOHAMED SAMIR</t>
  </si>
  <si>
    <t>STE GALAXY DE SRVICES</t>
  </si>
  <si>
    <t>STE MECHERGUI D'EQUIP. AUTOS</t>
  </si>
  <si>
    <t>AJMI  LAAROUSSI</t>
  </si>
  <si>
    <t>S E T C A R</t>
  </si>
  <si>
    <t>GENERALE PIECES AUTO "GPA"</t>
  </si>
  <si>
    <t>KOUKI FAOUZI</t>
  </si>
  <si>
    <t>NASRALLAH BELGACEM B.HOUCH</t>
  </si>
  <si>
    <t>STE RAHMANI DE PIECES AUTOS</t>
  </si>
  <si>
    <t>KHALFALLAH MILOUD B MOHAMED</t>
  </si>
  <si>
    <t>ABDELMAKSOUD IMED B LAZHAR</t>
  </si>
  <si>
    <t>STE SEGOR</t>
  </si>
  <si>
    <t>TROIS J JARRAYA</t>
  </si>
  <si>
    <t>CLIENT PASSAGER - SOUSSE</t>
  </si>
  <si>
    <t>STE HADJ AUTO</t>
  </si>
  <si>
    <t>SOTUDIS</t>
  </si>
  <si>
    <t>SELMI HANEN BT ALI</t>
  </si>
  <si>
    <t xml:space="preserve"> BEN HAMED COMMERCE INTERNAT</t>
  </si>
  <si>
    <t>MATHLOUTHI WALID B ABDLWAHEB</t>
  </si>
  <si>
    <t>HAOUARI CHOKRI</t>
  </si>
  <si>
    <t>CARREFOUR BATTERIES PLUS</t>
  </si>
  <si>
    <t>FEKRI BEN MOHAMED BAKLOUTI</t>
  </si>
  <si>
    <t>STE EL GHARBI EQUIP.GENERAL</t>
  </si>
  <si>
    <t>BEDOUI MONGI BEN SALEM</t>
  </si>
  <si>
    <t>STE TAXI 86</t>
  </si>
  <si>
    <t>STE TOUNSI PIECES AUTO</t>
  </si>
  <si>
    <t>STE AFRICA DES PIECES AUTOS</t>
  </si>
  <si>
    <t>ENTREPRISE BOUDOKHAN MOKHTAR</t>
  </si>
  <si>
    <t>STE LARMA</t>
  </si>
  <si>
    <t>BEN YOUSSEF IHEB B.ELMEHDI</t>
  </si>
  <si>
    <t>AYMEN AMMAR</t>
  </si>
  <si>
    <t>SOUADI ABDELKADER</t>
  </si>
  <si>
    <t>STE TUNISIENNE AGRICOLE</t>
  </si>
  <si>
    <t>BARHOUMI WISSEM B MOHAMED</t>
  </si>
  <si>
    <t>LAJNEF AHMED B BELGACEM</t>
  </si>
  <si>
    <t>AYADI FOURATI</t>
  </si>
  <si>
    <t>REBAII MAHJOUB BEN SAHBI</t>
  </si>
  <si>
    <t>HAMIDA MOHSEN BEN HASSINE</t>
  </si>
  <si>
    <t>STE COMPTOIR VOITURE MODERNE</t>
  </si>
  <si>
    <t>STE DES EQUIP.INDUST.&amp;TRANSP</t>
  </si>
  <si>
    <t>STE KZ PIECES AUTOS</t>
  </si>
  <si>
    <t>STE OULED AHMED DE PIECES</t>
  </si>
  <si>
    <t>STE L'HORIZON DE PIECES DE</t>
  </si>
  <si>
    <t>STE CIPA</t>
  </si>
  <si>
    <t>AHMED BEN ALI TEKAYA</t>
  </si>
  <si>
    <t>MOHAMED GUIZA</t>
  </si>
  <si>
    <t>TAREK BEN KHEMAIES LAHBIB</t>
  </si>
  <si>
    <t>AYMEN BEN HAMMADI BENAMOR</t>
  </si>
  <si>
    <t>STE GHAZEL DES PNEUS</t>
  </si>
  <si>
    <t>ETABLISSEMENTS AUPEICLE</t>
  </si>
  <si>
    <t>MARSA BATTERIES</t>
  </si>
  <si>
    <t>STE FOURNTURES AUTOS</t>
  </si>
  <si>
    <t>BEN TAHA PIECES AUTO</t>
  </si>
  <si>
    <t>NASR BEN ALI RTIMI</t>
  </si>
  <si>
    <t>BT SERVICES SURAL</t>
  </si>
  <si>
    <t>COMPTOIR NOUR AUTOMOBILE</t>
  </si>
  <si>
    <t>HABIB KHECHAREM</t>
  </si>
  <si>
    <t>AMAL SALEM</t>
  </si>
  <si>
    <t>JOUINI AUTO " J A "</t>
  </si>
  <si>
    <t>SMAOUI MOHSEN</t>
  </si>
  <si>
    <t>WAJDI BOUZGENDA</t>
  </si>
  <si>
    <t>STE JAPAN MOTORS COMPANY</t>
  </si>
  <si>
    <t>STE. COMMERCIALE DES PIECES</t>
  </si>
  <si>
    <t>REZGUI ANIS BEN ALI BN AMARA</t>
  </si>
  <si>
    <t>LES INDUSTRIES DE CARROSSAGE</t>
  </si>
  <si>
    <t>MONDIAL BATTERIES</t>
  </si>
  <si>
    <t>STE.MAGHR. DE PIECES DE RECH</t>
  </si>
  <si>
    <t>SOCIETE C P R A</t>
  </si>
  <si>
    <t>MEJDI NAJET BENT IBRAHIM</t>
  </si>
  <si>
    <t>BECHIR BEN MOHAMED BRIKI</t>
  </si>
  <si>
    <t>HEDI BEN MOHAMED GUENBRI</t>
  </si>
  <si>
    <t>LAHOUEL MED TAHER BN MOHAMED</t>
  </si>
  <si>
    <t>HACHICHA THAMEUR</t>
  </si>
  <si>
    <t>CHEDLY BOUZID</t>
  </si>
  <si>
    <t>STE COGEPA</t>
  </si>
  <si>
    <t>CARTHAGE CEMENT SA</t>
  </si>
  <si>
    <t>STE SUD EQUIPEMENT GENERALE</t>
  </si>
  <si>
    <t>STE MECHERGUI EZZEDINE P.AUT</t>
  </si>
  <si>
    <t>COMPTOIR AUTO.SVCES RAPIDES</t>
  </si>
  <si>
    <t>STE NIZAR HASNI</t>
  </si>
  <si>
    <t>PROCAR TUNISIE</t>
  </si>
  <si>
    <t>ZAIED HABIB BEN MOHAMED</t>
  </si>
  <si>
    <t>BENERGUIGA WASSIM B.MED HEDI</t>
  </si>
  <si>
    <t>MAJDI B.KHIAREDDINE BOUDHINA</t>
  </si>
  <si>
    <t>STE CHAABANI AUTOS "S-C-A"</t>
  </si>
  <si>
    <t>STE AOULED KHDHIRI SARL</t>
  </si>
  <si>
    <t>FIDHA AMINE B FATHI B HEDI</t>
  </si>
  <si>
    <t>RACHED BEN AMOR BOUBAKER</t>
  </si>
  <si>
    <t>STE ALBOURAQ PIECES AUTO</t>
  </si>
  <si>
    <t>STE.DES PIECES POIDS LOURD</t>
  </si>
  <si>
    <t>RACHED BEN BRAHIM MAMMACHA</t>
  </si>
  <si>
    <t>SOCIETE MANNAI BATIMENT</t>
  </si>
  <si>
    <t>ELAYEB SALEM BEN MUSTAPHA</t>
  </si>
  <si>
    <t>STE AFRIQUE AUTO</t>
  </si>
  <si>
    <t>ABDELBAKI KHEMIRI</t>
  </si>
  <si>
    <t>RIDHA BEN ALI MENSI</t>
  </si>
  <si>
    <t>NAILA BEN AHMED JEMAI</t>
  </si>
  <si>
    <t>ESSAFI AUTO</t>
  </si>
  <si>
    <t>BEN KHALED MOHSEN</t>
  </si>
  <si>
    <t>SOCIETE DARDOUR ET FILS</t>
  </si>
  <si>
    <t>MIN.DE L'INTERIEUR SERVICES</t>
  </si>
  <si>
    <t xml:space="preserve">           SO CO TEM</t>
  </si>
  <si>
    <t>ETS. JEDIDI RIADH</t>
  </si>
  <si>
    <t>HADDAD MAKHLOUF</t>
  </si>
  <si>
    <t>MOUNIR AROUS</t>
  </si>
  <si>
    <t>FETHI MAALOUL</t>
  </si>
  <si>
    <t>KHALED DRIDI</t>
  </si>
  <si>
    <t>SOSAPIA</t>
  </si>
  <si>
    <t>EBDELLI WALID BEN NASSER</t>
  </si>
  <si>
    <t>STE MED ALI DE PIECES DE</t>
  </si>
  <si>
    <t>STUFEME</t>
  </si>
  <si>
    <t>STE FIAT AUTO PIECES [ FAP ]</t>
  </si>
  <si>
    <t>HATEM BEN MOHAMED KOUKI</t>
  </si>
  <si>
    <t>NEJI KHIAREDDINE</t>
  </si>
  <si>
    <t>NOUREDDINE CHENIB</t>
  </si>
  <si>
    <t>STE REGI. DE TRANSP. DE BEJA</t>
  </si>
  <si>
    <t>AMOR BEN ABDRAHMENE BIBANI</t>
  </si>
  <si>
    <t>STE CPF SALLEMI</t>
  </si>
  <si>
    <t>SFAX VEHICULES INDUSTRIELS</t>
  </si>
  <si>
    <t>STE COMP. GENERAL EQUIPEMENT</t>
  </si>
  <si>
    <t>STE BEN MECHRI AUTO PIECES</t>
  </si>
  <si>
    <t>STE LOGISTIQUES MAG.GENERAL</t>
  </si>
  <si>
    <t>KOTNI ALI BEN SALAH</t>
  </si>
  <si>
    <t>ETABLISSEMENT DABOUSSI</t>
  </si>
  <si>
    <t>GLOBALE PIECES</t>
  </si>
  <si>
    <t>EL HORRY FARES PAWER AUTO</t>
  </si>
  <si>
    <t>STE BEN BRAHIM  " SBB "</t>
  </si>
  <si>
    <t>OMRI FARID BEN AMER</t>
  </si>
  <si>
    <t>STE VOYAGE&amp;LOISIRS TUNISIE</t>
  </si>
  <si>
    <t>STE CAP  AUTO PIECES SA</t>
  </si>
  <si>
    <t>STE MAIS</t>
  </si>
  <si>
    <t>S T E G- GARAGE REG. DE SFAX</t>
  </si>
  <si>
    <t>STE AL HAMD PIECE AUTO</t>
  </si>
  <si>
    <t>BOUCHADDAKH KHALED</t>
  </si>
  <si>
    <t>STE GLE DE COMMERCE PIECES</t>
  </si>
  <si>
    <t>HOUSSAMEDDINE CHORFI</t>
  </si>
  <si>
    <t>SAADI ABDALLAH</t>
  </si>
  <si>
    <t>STE FRERES NALOUTI</t>
  </si>
  <si>
    <t>RIDHA BN ABDALLALH BOUTALEB</t>
  </si>
  <si>
    <t>STE MEZRI.VTE PCE.RECH.AGRIC</t>
  </si>
  <si>
    <t>MUNICIPALITE DE SOUSSE</t>
  </si>
  <si>
    <t>STE REG. DE TRANSP.DE NABEUL</t>
  </si>
  <si>
    <t>AMMARI BRAHIM B AHMED</t>
  </si>
  <si>
    <t>MOHAMMED BEN NOURI MSAKNI</t>
  </si>
  <si>
    <t>STE EXPLOIT. D'EAU MINERALE</t>
  </si>
  <si>
    <t>BEN ABDALLAH ABDALLAH.MOSBAH</t>
  </si>
  <si>
    <t>ALOUI HEDI BEN MOHAMED</t>
  </si>
  <si>
    <t>ESSAIED SALAH</t>
  </si>
  <si>
    <t>CHAMAKHI BECHIR</t>
  </si>
  <si>
    <t>SMIDA MABROUKA BENT BELGACEM</t>
  </si>
  <si>
    <t>ELHADHBA BT MED EL ZAIDI</t>
  </si>
  <si>
    <t>LAHBIB BADREDDINE</t>
  </si>
  <si>
    <t>STE BOUAJILA ALI DE TP</t>
  </si>
  <si>
    <t>OUERGHI MOUNIR B ABDELMAJID</t>
  </si>
  <si>
    <t>AWADNI MAATOUG</t>
  </si>
  <si>
    <t>STE  K M P R</t>
  </si>
  <si>
    <t>STE MBS SERVICES</t>
  </si>
  <si>
    <t>STE HAMI AUTO</t>
  </si>
  <si>
    <t>DIR.GLE.PRISONS ET REEDUCAT.</t>
  </si>
  <si>
    <t>S P I R</t>
  </si>
  <si>
    <t>STE PLUS SERVICES "S P S A"</t>
  </si>
  <si>
    <t>CLIENT SG - SFAX</t>
  </si>
  <si>
    <t>SOCIETE EL WAFA</t>
  </si>
  <si>
    <t>MIN INTER.-D.AFF.ADM.&amp;FINAN.</t>
  </si>
  <si>
    <t>NOUREDDINE B MOHAMOUD KNIOUA</t>
  </si>
  <si>
    <t>SADOK  DERMECH</t>
  </si>
  <si>
    <t>STE MARIEM AGRICOLE</t>
  </si>
  <si>
    <t>STE RAMI.VNTE.PICES.RECHANGE</t>
  </si>
  <si>
    <t>WALID BEN LAID GHARBI</t>
  </si>
  <si>
    <t>BADREDDDINE MED.B AHMED</t>
  </si>
  <si>
    <t>STE RESSIFI DES PIECES AUTOS</t>
  </si>
  <si>
    <t>STE NEFZAWA EQUIPS GENERALE</t>
  </si>
  <si>
    <t>STE HAMMAMI DE MATER.AGRICOL</t>
  </si>
  <si>
    <t>CHAABANI MOHAMED BEN DHAW</t>
  </si>
  <si>
    <t>BELGACEM BEN BOUBAKER MEJRI</t>
  </si>
  <si>
    <t>PIECES AUTOS BEN ALAYA MED</t>
  </si>
  <si>
    <t>STE DABBABI PCS.RCH.AUTO.AGR</t>
  </si>
  <si>
    <t>EZZEDDINE LETIFI</t>
  </si>
  <si>
    <t>STE ELAJMI PIECES AUTOS</t>
  </si>
  <si>
    <t>HIDOURI ABDALLAH B AMMAR</t>
  </si>
  <si>
    <t>STE FIX-N-GO</t>
  </si>
  <si>
    <t>S. BADREDDINE CHERIF &amp; CIES</t>
  </si>
  <si>
    <t>SOSTEM</t>
  </si>
  <si>
    <t>ZOUARI FRERES</t>
  </si>
  <si>
    <t>GUIZANI FETHI</t>
  </si>
  <si>
    <t>STE ALHAYET PARTS</t>
  </si>
  <si>
    <t>STE SLIM VENTE PIECES AUTOS</t>
  </si>
  <si>
    <t>SOCIETE SAADA</t>
  </si>
  <si>
    <t>HOUCINE B. ABDELHAMID BOUONI</t>
  </si>
  <si>
    <t>SOCIETE AGRI MAN</t>
  </si>
  <si>
    <t>STE JEBALI AGRICOLE</t>
  </si>
  <si>
    <t>MOHAMED NACEUR ABDELLI</t>
  </si>
  <si>
    <t>ESSKANDER SLIMAN</t>
  </si>
  <si>
    <t>STE GOMRI FRERES DE PIECES</t>
  </si>
  <si>
    <t>STE BEN AISSA AUTO</t>
  </si>
  <si>
    <t>KHLIFI ACHREF BEN SAIYED</t>
  </si>
  <si>
    <t>SFAX TECH. AUTO-CHARFEDINE</t>
  </si>
  <si>
    <t>S.N.D.P.</t>
  </si>
  <si>
    <t>STE AMEN CAR DU CENTRE</t>
  </si>
  <si>
    <t>CHETTAOUI AFIF BEN TAEIB</t>
  </si>
  <si>
    <t>STE.TRANSP.DISTR.MANUTENTION</t>
  </si>
  <si>
    <t>STE TAYEB PIECES AUTOMOBILES</t>
  </si>
  <si>
    <t>STE M W AUTO'S</t>
  </si>
  <si>
    <t>S.R. DE TRANSP. DE JENDOUBA</t>
  </si>
  <si>
    <t>STE GENERALE ELECTRIQUE PLUS</t>
  </si>
  <si>
    <t>STE FATHALLAH PNEUMATIQUE</t>
  </si>
  <si>
    <t>BEN MECHRI SALAH B KHOUMAIES</t>
  </si>
  <si>
    <t>NEJI EL JAZI</t>
  </si>
  <si>
    <t>JALELEDDINE B SALEM ZERELLI</t>
  </si>
  <si>
    <t>STE METHAMEN AUTO PLUS</t>
  </si>
  <si>
    <t>OUESLATI LOTFI B BELGACEM</t>
  </si>
  <si>
    <t>FERJANI FATHALLAH</t>
  </si>
  <si>
    <t>STE TUN DE PRODUITS AGRICOLE</t>
  </si>
  <si>
    <t>LA PIECE EURO-JAPONAISE</t>
  </si>
  <si>
    <t>STE GENERAL BETON</t>
  </si>
  <si>
    <t>CHAMAKHI YOUSSEF</t>
  </si>
  <si>
    <t>BEN HAJ SALEM HOUSSEM</t>
  </si>
  <si>
    <t>JALEL BEN  ABDELLAZIZ CHATER</t>
  </si>
  <si>
    <t>STE COMPTOIR PCES RCHGS+ELEC</t>
  </si>
  <si>
    <t>BRIHMI SABER B MASSOUD</t>
  </si>
  <si>
    <t>TUNISIE AUTOROUTES</t>
  </si>
  <si>
    <t>TRANSPORT COMMUN VOYAGEURS</t>
  </si>
  <si>
    <t>AHMED BEN FETHI CHOUCHENE</t>
  </si>
  <si>
    <t>CENTRE DE DISTRIBUT. PIECES</t>
  </si>
  <si>
    <t>STE LA RECHANGE AUTOMOBILE</t>
  </si>
  <si>
    <t>STE PIECES RECHANGES "SPJA"</t>
  </si>
  <si>
    <t>STE GHAMMOUR ENAKHIL</t>
  </si>
  <si>
    <t>AMMAR BEN HOUCINE</t>
  </si>
  <si>
    <t>PIECE AUTO YOUSSEF ELFEKILI</t>
  </si>
  <si>
    <t>CLIENT PASSAGER JENDOUBA</t>
  </si>
  <si>
    <t>STE  COMPTOIR CYRINE-MARIEM</t>
  </si>
  <si>
    <t>MOURAD BEN GACEM NALOUTI</t>
  </si>
  <si>
    <t>STE SAMI BOUDALI SVICE AUTO</t>
  </si>
  <si>
    <t>DALILA ZANNOUNI</t>
  </si>
  <si>
    <t>E T E P</t>
  </si>
  <si>
    <t>STE RINAD EQUIP.AGRICOLES</t>
  </si>
  <si>
    <t>STE MDIALE PCE AUTOMOBILES</t>
  </si>
  <si>
    <t>EQUIP. AUTOS MOKNINE</t>
  </si>
  <si>
    <t>MOHAMED ALI BEN ANAS B.ZINA</t>
  </si>
  <si>
    <t>FATMA KTATA ( ETS EHK )</t>
  </si>
  <si>
    <t>PIECES AUTOS MED AZZOUZ</t>
  </si>
  <si>
    <t>AYADI IBRAHIM</t>
  </si>
  <si>
    <t>CHOKRI BREN MECHICHI</t>
  </si>
  <si>
    <t>TUNISIE TELECOM TUNIS</t>
  </si>
  <si>
    <t>JDAY MED FEKHER BN KHDHIRI</t>
  </si>
  <si>
    <t>BEN-ZID ABICHE-B-SALAH</t>
  </si>
  <si>
    <t>MAKNI HANEN</t>
  </si>
  <si>
    <t>TRABELSI JAMEL</t>
  </si>
  <si>
    <t>SALEM BEN MED BEN BRAHIM</t>
  </si>
  <si>
    <t>STE IDEALE PIECES AUTOS SIPA</t>
  </si>
  <si>
    <t>NASRI WALID BEN ABBES</t>
  </si>
  <si>
    <t>STE ALHADITHA DE PIECES AUTO</t>
  </si>
  <si>
    <t>TEMANI SADOK</t>
  </si>
  <si>
    <t>STE KHELIFI PIECES.RECHANGE</t>
  </si>
  <si>
    <t>CERI TUNISIE(CIE EURAFRICAIN</t>
  </si>
  <si>
    <t>SOUFIANE MANNAI</t>
  </si>
  <si>
    <t>ADEL BEN ACHOUR ATTAYA-MOBIL</t>
  </si>
  <si>
    <t>KHALFAOUI AFEF BT MOULDI</t>
  </si>
  <si>
    <t>BEN ALI ZINA BT SASSI</t>
  </si>
  <si>
    <t>STE FRIKHA PIECES AUTO</t>
  </si>
  <si>
    <t>FOUED BEN SADOK KACEM</t>
  </si>
  <si>
    <t>BEN NACEUR MED TAHAR B ALI</t>
  </si>
  <si>
    <t>KAIES EL KHECHINE</t>
  </si>
  <si>
    <t>MECHERGUI MED- EQUIPT AGRIC.</t>
  </si>
  <si>
    <t>HAMDA MALEK BEN JILANI</t>
  </si>
  <si>
    <t>NABIL B AHMED B SALAH SMAII</t>
  </si>
  <si>
    <t>BEN ZID SLAHEDDINE B EB MED</t>
  </si>
  <si>
    <t>SOUHEIL TEKAYA</t>
  </si>
  <si>
    <t>SOUSSI TAOUFIK</t>
  </si>
  <si>
    <t>CHAABANI OKBA BEN ALI</t>
  </si>
  <si>
    <t>STE UNIVSEL AUTOMOTIVES PART</t>
  </si>
  <si>
    <t>STE ESSID TRADING COMPANY</t>
  </si>
  <si>
    <t>HICHRI MOHAMED</t>
  </si>
  <si>
    <t>MEJRI WARDA BT MOHAMED</t>
  </si>
  <si>
    <t>MOH KHALED BOUKERI</t>
  </si>
  <si>
    <t>STE TIME</t>
  </si>
  <si>
    <t>NAIM BERRICH</t>
  </si>
  <si>
    <t>OFF AVIAT. CIVILE &amp;AEROPORT</t>
  </si>
  <si>
    <t>STE KACEM ET FILS " EC "</t>
  </si>
  <si>
    <t>STE ELECTRO-MECANIQUE</t>
  </si>
  <si>
    <t>SPECIALITE PIECES ELEC. AUTO</t>
  </si>
  <si>
    <t>HAZEM HAMMOUDA</t>
  </si>
  <si>
    <t>OFF.NAT.DE LA TELEDIFFUSION</t>
  </si>
  <si>
    <t>CHOKRI KSIKSI</t>
  </si>
  <si>
    <t>NABIL GUIDER</t>
  </si>
  <si>
    <t>DOUIK PIECES AUTOS</t>
  </si>
  <si>
    <t>HAMIDA SHILI</t>
  </si>
  <si>
    <t>GARA NABIL BEN BECHIR</t>
  </si>
  <si>
    <t>BOUZID AMINE B CHEDLI</t>
  </si>
  <si>
    <t>STE.FABRICATION.BOISSONS.TUN</t>
  </si>
  <si>
    <t>ANIS BEN REHAIEM NASRI</t>
  </si>
  <si>
    <t>STE B KHLIFA DE PICES.RECHGE</t>
  </si>
  <si>
    <t>STE LUMIERE LOGISTIQUE</t>
  </si>
  <si>
    <t>STE IDEAL  MOTEUR</t>
  </si>
  <si>
    <t>ISMAIL BEN OTHMAN KARAOULI</t>
  </si>
  <si>
    <t>OTHMANI MONCEF BEN LAKHDAR</t>
  </si>
  <si>
    <t>MIN. AGR.- CRDA SIDI BOUZID</t>
  </si>
  <si>
    <t>HOUCINE LOUSSAIEF</t>
  </si>
  <si>
    <t>WALID BEN HABIB CHORFI</t>
  </si>
  <si>
    <t>SOMATRA-GET</t>
  </si>
  <si>
    <t>STE SAAIDI PIECES  RECHANGE</t>
  </si>
  <si>
    <t>MERZOUGUI RIDHA B.MED EZZINE</t>
  </si>
  <si>
    <t>MINISTERE DE L'EQUIPEMENT</t>
  </si>
  <si>
    <t>SOCIETE ALI PIECES AUTOS</t>
  </si>
  <si>
    <t>HASSEN ABDELHAKIM B FREDJ</t>
  </si>
  <si>
    <t>STE MARJA DE DEVELOPPEMENT</t>
  </si>
  <si>
    <t>STE COMPTOIR MARITINE DJERBA</t>
  </si>
  <si>
    <t>STE MY CAR DISTRIBUTION</t>
  </si>
  <si>
    <t>MATERIELS POIDS LOURDS</t>
  </si>
  <si>
    <t>HASSINI AHMED BEN MOHAMED</t>
  </si>
  <si>
    <t>STE REG.TRANSP.SILIANA</t>
  </si>
  <si>
    <t>RIAHI TAREK B HMIDA B MED</t>
  </si>
  <si>
    <t>STE BICHIOU BRICO HOME</t>
  </si>
  <si>
    <t>BASMA BENT ALI SAYYER</t>
  </si>
  <si>
    <t>ABDELKADER MOEZ BEN LAMINE</t>
  </si>
  <si>
    <t>SOCIETE MAYADA</t>
  </si>
  <si>
    <t>ETS. KHALED KOBBI</t>
  </si>
  <si>
    <t>STE EL AMANA PIECES AUTOS</t>
  </si>
  <si>
    <t>MOHSEN BEN MOHAMED FELHI</t>
  </si>
  <si>
    <t>STE DOGHRI AL BARAKA</t>
  </si>
  <si>
    <t>AYADA ISMAIL BEN MOHAMED</t>
  </si>
  <si>
    <t>NABIHA REZGUI BEN HABIB</t>
  </si>
  <si>
    <t>SOCIETE RECTIF</t>
  </si>
  <si>
    <t>ARIDHI LILYA BENT SADOK</t>
  </si>
  <si>
    <t>STE MONDE.PIECES.RECHANGE</t>
  </si>
  <si>
    <t>KHALED GHAZOUANI</t>
  </si>
  <si>
    <t>STE QUALITY SPARE PARTS</t>
  </si>
  <si>
    <t>KALLEL LASSAAD</t>
  </si>
  <si>
    <t>ALOUI HEDI</t>
  </si>
  <si>
    <t>STE TLILI AUTO</t>
  </si>
  <si>
    <t>SOCIETE B S A</t>
  </si>
  <si>
    <t>SAI BILLEL BEN AHMED</t>
  </si>
  <si>
    <t>C R D A   SILIANA</t>
  </si>
  <si>
    <t>YTY AUTO</t>
  </si>
  <si>
    <t>STE ZINA FRESH</t>
  </si>
  <si>
    <t>STE TRAVAUX DU NORD</t>
  </si>
  <si>
    <t>NASRI MOKHTAR B.ABDERRAHMEN</t>
  </si>
  <si>
    <t>STE.GUEDRI MOHSEN ET FRERES</t>
  </si>
  <si>
    <t>BEN SALEM MALIKA</t>
  </si>
  <si>
    <t>STE ARFA AUTO PLUS</t>
  </si>
  <si>
    <t>MIN AGR.-SER.TRANSPORTS</t>
  </si>
  <si>
    <t>STE GATOUFI GENERAL PIECES</t>
  </si>
  <si>
    <t>ABBESSI SAMIR BEN HMIDA</t>
  </si>
  <si>
    <t>C C P D</t>
  </si>
  <si>
    <t>STE MUST SERVICES</t>
  </si>
  <si>
    <t>HELMI PIECES ELECTRIQUES</t>
  </si>
  <si>
    <t>STE D'ASSIST MAINT AUTO SAMA</t>
  </si>
  <si>
    <t>SOCIETE AGRICOLE DICK</t>
  </si>
  <si>
    <t>AGENCE NATIONALE DE GESTION</t>
  </si>
  <si>
    <t>STE RANEN.PIECES DE RECHANGE</t>
  </si>
  <si>
    <t>GUEDHAMI JALEL</t>
  </si>
  <si>
    <t>ELMABROUKI.SERV.MECANIQUES</t>
  </si>
  <si>
    <t>LES PIERRES DU NORD</t>
  </si>
  <si>
    <t>MTIR BEN SASSI HAJRI</t>
  </si>
  <si>
    <t>OTD CHAAL</t>
  </si>
  <si>
    <t>STE BOUKHRIS PICES.RECHANGES</t>
  </si>
  <si>
    <t>COMPAGNIE TNNE DE REPRESENT.</t>
  </si>
  <si>
    <t>ZRIBI WAEL BEN AHMED</t>
  </si>
  <si>
    <t>YACOUBI BEN MOULDI EL ABED</t>
  </si>
  <si>
    <t>TAHER KABOUS ROYAL AUTO</t>
  </si>
  <si>
    <t>EL GHOUL FARAH</t>
  </si>
  <si>
    <t>NOUR GENERAL AUTOS</t>
  </si>
  <si>
    <t>METAWA SAMI BEN METAWA</t>
  </si>
  <si>
    <t>BAYDER EQUIP.AGRIC &amp; INDUSTR</t>
  </si>
  <si>
    <t>STE L'EPI D'OR TRANSPORT</t>
  </si>
  <si>
    <t>STE CARTAGE AUTO</t>
  </si>
  <si>
    <t>ASSADI ISKANDER</t>
  </si>
  <si>
    <t>BOUZAYENE AUTO</t>
  </si>
  <si>
    <t>STE RJEB AUTO</t>
  </si>
  <si>
    <t>BEN IBRAHIM ALI B.ELHOUSSIN</t>
  </si>
  <si>
    <t>MUNICIPALITE MAHDIA</t>
  </si>
  <si>
    <t>MAGHREBIA TECH.ET TRAVAUX</t>
  </si>
  <si>
    <t>AMENI DES PIECES DETACHEES</t>
  </si>
  <si>
    <t>ELKHALDI ANIS B MED LAKHDHAR</t>
  </si>
  <si>
    <t>STE AGRI.QUINCAILLERIE  AMEL</t>
  </si>
  <si>
    <t>STE TRANSPORT ET MANUTENTION</t>
  </si>
  <si>
    <t>ABDELJELIL B.KHADHARI HAKIRI</t>
  </si>
  <si>
    <t>MAISON D'HUILE ET DE FILTRE</t>
  </si>
  <si>
    <t>STE PIECES RECH.EUROPEENNES</t>
  </si>
  <si>
    <t>FREMAS AUTO</t>
  </si>
  <si>
    <t>OFFICE NATIONALE DES POSTES</t>
  </si>
  <si>
    <t>STE CHIHI PIECES AUTOS</t>
  </si>
  <si>
    <t>ABDELKADER B YOUSSEF GHARBI</t>
  </si>
  <si>
    <t>AMEL ZGUIDENE EP SADFI</t>
  </si>
  <si>
    <t>BEN DKHIL FREDJ BEN HASSAN</t>
  </si>
  <si>
    <t>STE PIECES AUTO ROUTE X</t>
  </si>
  <si>
    <t>NADER.COMRC.INTERNATIONALE</t>
  </si>
  <si>
    <t>STE BOUKHZAR SARL</t>
  </si>
  <si>
    <t>STE ROUA VENTE ET ACHAT EN</t>
  </si>
  <si>
    <t>MONCEF ZARRAGA</t>
  </si>
  <si>
    <t>STE RELAI NAITIC EXPRESS RNE</t>
  </si>
  <si>
    <t>SALAH FNAIECH</t>
  </si>
  <si>
    <t>MUNICIPALITE DE BEN AROUS</t>
  </si>
  <si>
    <t>MAKREM BEN MED HCINE KHILA</t>
  </si>
  <si>
    <t>FREDJ BEN KHALIFA KLEBI</t>
  </si>
  <si>
    <t>MEDDIS</t>
  </si>
  <si>
    <t>STE HARECH TRANS.TERRESTRE</t>
  </si>
  <si>
    <t>SONEDE SOUSSE</t>
  </si>
  <si>
    <t>HACHEM AUTOS</t>
  </si>
  <si>
    <t>DAIKHI ZINA BENT ABDALLAH</t>
  </si>
  <si>
    <t>RIGHT CARS</t>
  </si>
  <si>
    <t>CHHIMI HENDA</t>
  </si>
  <si>
    <t>STE GEN.ELCTRIQUE AUTOMOBILE</t>
  </si>
  <si>
    <t>CHAABANE BADREDDINE B.MED</t>
  </si>
  <si>
    <t>HATEM BEN SALAH KRAIEM</t>
  </si>
  <si>
    <t>COMPAGNIE TNNE DE FORAGE</t>
  </si>
  <si>
    <t>MANAI WAHID</t>
  </si>
  <si>
    <t>SOCIETE TRANS-FOOD</t>
  </si>
  <si>
    <t>SMART CAR SERVICES</t>
  </si>
  <si>
    <t>MUNICIPALITE MSAKEN</t>
  </si>
  <si>
    <t>C R D A SFAX</t>
  </si>
  <si>
    <t>HELA FERJANI NEE AJMI</t>
  </si>
  <si>
    <t>STE WAFA DAMMAK</t>
  </si>
  <si>
    <t>AUTO ZONE</t>
  </si>
  <si>
    <t>GROUPEMENT MANUTENTIONNAIRES</t>
  </si>
  <si>
    <t>STE DE BETON INDUST. GLOULOU</t>
  </si>
  <si>
    <t>LOUATI AYMEN BEM MOHAMED</t>
  </si>
  <si>
    <t>SMPA MASMOUDI PIECES AUTOS</t>
  </si>
  <si>
    <t>DIRECTION REGIONALE DE</t>
  </si>
  <si>
    <t>AUTO ZARGA</t>
  </si>
  <si>
    <t>SOCIETE VEPRA</t>
  </si>
  <si>
    <t>STE FRERES RADHOUANI DE</t>
  </si>
  <si>
    <t>ETAB. FARHAT BOUJELBAN</t>
  </si>
  <si>
    <t>JIHED ELARBI</t>
  </si>
  <si>
    <t>STE THEBTI DELTA MAISON AUTO</t>
  </si>
  <si>
    <t>MINISTERE DES DOMAINES DE</t>
  </si>
  <si>
    <t>STE DES TRAVAUX FERROVIAIRE</t>
  </si>
  <si>
    <t>GHARBI ELHABIB B AHMED</t>
  </si>
  <si>
    <t>S P A E</t>
  </si>
  <si>
    <t>TLATI MOHAMED</t>
  </si>
  <si>
    <t>SALEM B.ABDELLAZIZ BELHASSEN</t>
  </si>
  <si>
    <t>PRESIDENCE DU GOUVERNEMENT</t>
  </si>
  <si>
    <t>ISSAOUI ABDERRAHMEN</t>
  </si>
  <si>
    <t>ABDELMAJID BEN HASSEN AMIRI</t>
  </si>
  <si>
    <t>STE FARAH</t>
  </si>
  <si>
    <t>STE OUBAY DE PIECES</t>
  </si>
  <si>
    <t>MAKREM ZAMMALI</t>
  </si>
  <si>
    <t>GHATHGHATHI NABIL</t>
  </si>
  <si>
    <t>STE PIECE AUTO TUNISIENNE</t>
  </si>
  <si>
    <t>ETS.BEN JOMAA AUTOS</t>
  </si>
  <si>
    <t>AGILI PIECES DETACHEES</t>
  </si>
  <si>
    <t>AGENCE NAT.PROTEC.ENVIRNMENT</t>
  </si>
  <si>
    <t>GROUPE CHIMIQUE GABES</t>
  </si>
  <si>
    <t>MAJED ELHADI BEN MUSTAPHA</t>
  </si>
  <si>
    <t>MUNICIPALITE SOUKRA</t>
  </si>
  <si>
    <t>IMED BEN ZEKRI</t>
  </si>
  <si>
    <t>B  S  B TOYOTA</t>
  </si>
  <si>
    <t>STE COMPTOIR DE COMMERCE</t>
  </si>
  <si>
    <t>BACHTA MED NIZAR BEN AHMED</t>
  </si>
  <si>
    <t>COMPTOIR ABDENNADHER</t>
  </si>
  <si>
    <t>STE FREE RENT A CAR</t>
  </si>
  <si>
    <t>SO.CO.PI</t>
  </si>
  <si>
    <t>BRAHIM BEN MOHAMED MEDDEB</t>
  </si>
  <si>
    <t>LES EQUIPEMENTS MARITIMES DE</t>
  </si>
  <si>
    <t>STE M&amp;M EQUIPEMENTS DE PECHE</t>
  </si>
  <si>
    <t>AOUADI MOHAMED BEN CHAOUKI</t>
  </si>
  <si>
    <t>MONDHER MEFTAH</t>
  </si>
  <si>
    <t>YAKOUBI MOHAMED BEN HASSEN</t>
  </si>
  <si>
    <t>SOCIETE DES TRANSPORTS</t>
  </si>
  <si>
    <t>ALI YAHYAOUI</t>
  </si>
  <si>
    <t>STE TNNE DE BISCUIT SAIDA</t>
  </si>
  <si>
    <t>CRDA TATAOUINE</t>
  </si>
  <si>
    <t>MAROUA BENT NEJIB AAZOUZI</t>
  </si>
  <si>
    <t>RAMEH JAMILA BEN SADOK</t>
  </si>
  <si>
    <t>TRANSPOOL</t>
  </si>
  <si>
    <t>SOCIETE DRIDI AUTO (SDA)</t>
  </si>
  <si>
    <t>ZIED BEN ALI MABROUKI</t>
  </si>
  <si>
    <t>LE PRESTATAIRE  [ 1 ]</t>
  </si>
  <si>
    <t>STE MESTIRI ET FILS</t>
  </si>
  <si>
    <t>SOTUFEM</t>
  </si>
  <si>
    <t>STE.GEN. DE BOIS. &amp;IND.ALIM.</t>
  </si>
  <si>
    <t>ECOLOGIQUE TUNISO-ITALIENNE</t>
  </si>
  <si>
    <t>CLIENT SG  SOUSSE</t>
  </si>
  <si>
    <t>STE KHAMMARIA PIECE RECHANGE</t>
  </si>
  <si>
    <t>M O N O G R O S</t>
  </si>
  <si>
    <t>S. A. M.</t>
  </si>
  <si>
    <t>STE ELAMAL PIECS AUTOMOBILES</t>
  </si>
  <si>
    <t>FAROUK SAADANI</t>
  </si>
  <si>
    <t>LETAEIF HENI</t>
  </si>
  <si>
    <t>MOHAMED B BELGACEM MISSAOUI</t>
  </si>
  <si>
    <t>STE LA PERLE DE BETON INDUST</t>
  </si>
  <si>
    <t>SOCIETE   " BSPIA "</t>
  </si>
  <si>
    <t>LOTFI BEN MOHAMED KRIAA</t>
  </si>
  <si>
    <t>STE AGILI TRANSPORT</t>
  </si>
  <si>
    <t>STE BEDOUI MOTORS SERVICES</t>
  </si>
  <si>
    <t>ZAMMOURIA FATMA EPS MANSOURI</t>
  </si>
  <si>
    <t>GRAJA NIZAR "GENERAL AUTO"</t>
  </si>
  <si>
    <t>STE COMPTOIR SFAXIEN PIECES</t>
  </si>
  <si>
    <t>OUERGUI RAKIA ADELAZIZ</t>
  </si>
  <si>
    <t>SOCIETE CHAIBI DE CARBURANT</t>
  </si>
  <si>
    <t>HATEM BEN MOHAMED BELGITH</t>
  </si>
  <si>
    <t>AMMAR ESSID</t>
  </si>
  <si>
    <t>STE BATI BRICOLA</t>
  </si>
  <si>
    <t>STE YOSR DE PIECES AUTOS</t>
  </si>
  <si>
    <t>STE CONSEIL POIDS LOURD</t>
  </si>
  <si>
    <t>STE COMPTOIR AGRICOLE.NORD</t>
  </si>
  <si>
    <t>SOCIETE SOPI</t>
  </si>
  <si>
    <t>STE HERITIERS MHAMED SOUGUA</t>
  </si>
  <si>
    <t>NEJIB GADHOUM</t>
  </si>
  <si>
    <t>EQUIPEMENT VOITURES    [EVE]</t>
  </si>
  <si>
    <t>ADM.REG.EQUIP.AMG.HA.BIZERTE</t>
  </si>
  <si>
    <t>STE AUTOLEAD</t>
  </si>
  <si>
    <t>AMMARI WISSEM  BEN MOHAMED</t>
  </si>
  <si>
    <t>DIR REG EQUIPEMENT BEN AROUS</t>
  </si>
  <si>
    <t>STE MOEZ BEN HSOUNA FRIKHA</t>
  </si>
  <si>
    <t>ESGAIER HAMZA</t>
  </si>
  <si>
    <t>NOUVEL AIR HANDLING</t>
  </si>
  <si>
    <t>MINOTERIE DE LA SOUKRA</t>
  </si>
  <si>
    <t>MUNICIPALITE DOUAR HICHER</t>
  </si>
  <si>
    <t>STE BEN ABDERRAZEK NASRI</t>
  </si>
  <si>
    <t>BOURAOUI LAMTI</t>
  </si>
  <si>
    <t>STE CENT POUR CENT BATTERIES</t>
  </si>
  <si>
    <t>S T I R</t>
  </si>
  <si>
    <t>RACHID MABROUK BEN SALEM</t>
  </si>
  <si>
    <t>STE EL AMEN.TRANSPORT.MRCSES</t>
  </si>
  <si>
    <t>STE CHAKER &amp;C IE PIECES AUTO</t>
  </si>
  <si>
    <t>M P R- ESSID LASSAAD</t>
  </si>
  <si>
    <t>MIN FINANCES</t>
  </si>
  <si>
    <t>STE MEMMI-AUTO ET COMPAGNIES</t>
  </si>
  <si>
    <t>LATRACHAUTO</t>
  </si>
  <si>
    <t>SOCIETE LA DOUCE</t>
  </si>
  <si>
    <t>ELECTRO-AUTO</t>
  </si>
  <si>
    <t>STE BEN MARIEM AUTO</t>
  </si>
  <si>
    <t>KALLEL HATEM</t>
  </si>
  <si>
    <t>STE. MODERNE AUTO</t>
  </si>
  <si>
    <t>MUNICIPALITE EL MOUROUJ</t>
  </si>
  <si>
    <t>EL BARAKA VENTE PIECES RECH.</t>
  </si>
  <si>
    <t>S T E G</t>
  </si>
  <si>
    <t>TALBI ALI BEN ABDENNABI</t>
  </si>
  <si>
    <t>OUERFELLI IMEDEDDINE B.SALAH</t>
  </si>
  <si>
    <t>INTERMETAL</t>
  </si>
  <si>
    <t>STE LAND'OR</t>
  </si>
  <si>
    <t>STE UNIVERS AUTOS DOUZ</t>
  </si>
  <si>
    <t>STE AGRODIS</t>
  </si>
  <si>
    <t>MUNICIPALITE MANOUBA</t>
  </si>
  <si>
    <t>SOCIETE ENNAJAH DES SERVICES</t>
  </si>
  <si>
    <t>MUNICIPALITE DE ZAGHOUAN</t>
  </si>
  <si>
    <t>HAIKEL BEN MOULDI ESSAHLI</t>
  </si>
  <si>
    <t>STE CHIBANI COMMERCE&amp;SERVICE</t>
  </si>
  <si>
    <t>NAJET BENT SALAH ZAMELI</t>
  </si>
  <si>
    <t>MAISON ROULT &amp; PNEU.</t>
  </si>
  <si>
    <t>STE KAIED AUTO</t>
  </si>
  <si>
    <t>EL MAZRAA</t>
  </si>
  <si>
    <t>MUNICIPALITE DE BEJA</t>
  </si>
  <si>
    <t>SOCIETE   T  A  T</t>
  </si>
  <si>
    <t>ABDELKARIM CHEBBI</t>
  </si>
  <si>
    <t>SOCIETE HNIA</t>
  </si>
  <si>
    <t>NALOUTI SALAH BEN MAHMOUD</t>
  </si>
  <si>
    <t>YOSRI BAAZAOUI</t>
  </si>
  <si>
    <t>TUNISIE TELECOM DIST-SOUSSE</t>
  </si>
  <si>
    <t>ELLOUZE KAMEL BN MED TAHER</t>
  </si>
  <si>
    <t>STE     L A S      DES PNEUS</t>
  </si>
  <si>
    <t>KERKENI NIZAR B ALI</t>
  </si>
  <si>
    <t>ROMDHANI ALAYA</t>
  </si>
  <si>
    <t>MUNICIPALITE KALAAT ANDALOUS</t>
  </si>
  <si>
    <t>STE COMPT EQUIP AUTOS</t>
  </si>
  <si>
    <t>THYNA PETROLEUM SERVICES</t>
  </si>
  <si>
    <t>S T A A S</t>
  </si>
  <si>
    <t>STE TAHRI STATION SERVICES</t>
  </si>
  <si>
    <t>S A P O M</t>
  </si>
  <si>
    <t>BOUGANMI ABDELHAKIM B MOSBAH</t>
  </si>
  <si>
    <t>MUNICIPALITE SAKIET EDDAEIR</t>
  </si>
  <si>
    <t>SOCIETE COTUSEM</t>
  </si>
  <si>
    <t>SOCIETE " CAMPU-CAR "</t>
  </si>
  <si>
    <t>HAMZA BALBALI</t>
  </si>
  <si>
    <t>STE HAMIDOU D COMMERCE</t>
  </si>
  <si>
    <t>BAAROUN YOUSSEF BEN SAYEH</t>
  </si>
  <si>
    <t>KALLEL MAJDI</t>
  </si>
  <si>
    <t>SOCIETE TRANSOIL</t>
  </si>
  <si>
    <t>STE CONFIANCE VOYAGES</t>
  </si>
  <si>
    <t>KHALFA ABDELKADER</t>
  </si>
  <si>
    <t>ETS TELEVISION TUNISIENNE</t>
  </si>
  <si>
    <t>SOCIETE MAGHREBINE DES</t>
  </si>
  <si>
    <t>STE TRANSPORT RAPIDE TUNISIE</t>
  </si>
  <si>
    <t>STE BELKAHIA SERVICE</t>
  </si>
  <si>
    <t>CLIENT PASSAGER EN SUSPENSIO</t>
  </si>
  <si>
    <t>STE LE BETON DU SAHEL</t>
  </si>
  <si>
    <t>STE BOUANI.PIECES .RECHANGE</t>
  </si>
  <si>
    <t>STE DES MINOTERIES &amp; IND DIV</t>
  </si>
  <si>
    <t>ABDELAZIZ B JEMAI SOUISSI</t>
  </si>
  <si>
    <t>MOUHAMED GDEMME</t>
  </si>
  <si>
    <t>OFFICE.TOPOGRAPHIE.CADASTRE</t>
  </si>
  <si>
    <t>COMPT. TUN. TRANSP. MARCH.</t>
  </si>
  <si>
    <t>STE ESPACE.ARTS.DECOR.FER</t>
  </si>
  <si>
    <t>PIECES 9</t>
  </si>
  <si>
    <t>MERZOUGUI ABDELKADER</t>
  </si>
  <si>
    <t>SOCIETE AMMOUS ET CIE</t>
  </si>
  <si>
    <t>MIN AGR.-C.R.D.A DE ZAGHOUAN</t>
  </si>
  <si>
    <t>TAHER MESTIRI</t>
  </si>
  <si>
    <t>CHERIF MOHAMED</t>
  </si>
  <si>
    <t>SECADENORD</t>
  </si>
  <si>
    <t>OFFICE DES CEREALES</t>
  </si>
  <si>
    <t>MINISTERE DE LA SANTE</t>
  </si>
  <si>
    <t>STE AUTO ZONE PICES.RECHANGE</t>
  </si>
  <si>
    <t>MIN AGR.-C R D A   BEN AROUS</t>
  </si>
  <si>
    <t>ATOUI SADEK BEN MABROUK</t>
  </si>
  <si>
    <t>CLIENT PASSAGER SFAX</t>
  </si>
  <si>
    <t>SOCIETE CEPA</t>
  </si>
  <si>
    <t>SOCIETE GENERAL DE PIECES</t>
  </si>
  <si>
    <t>SLAHEDDINE CHARNI</t>
  </si>
  <si>
    <t>MUNICIPALITE GREMDA</t>
  </si>
  <si>
    <t>STE AUTO SERVICE PLUS</t>
  </si>
  <si>
    <t>GHARSALLAH SOUMAYA</t>
  </si>
  <si>
    <t>STE EL MABROUK</t>
  </si>
  <si>
    <t>DERBEL AHMED</t>
  </si>
  <si>
    <t>SAIDI CHERIFA</t>
  </si>
  <si>
    <t>STE AB AUTO</t>
  </si>
  <si>
    <t>KHNICH LOTFI BEN AHMED</t>
  </si>
  <si>
    <t>STE INTER.DES SPORT NAUTIQUE</t>
  </si>
  <si>
    <t>ELLOUZE RAJA</t>
  </si>
  <si>
    <t>STE IRADA PIECES AUTOS</t>
  </si>
  <si>
    <t>GPE CHIMIQUE TUN.- US MDILLA</t>
  </si>
  <si>
    <t>STE TAOUFIK REV.CARBURANT</t>
  </si>
  <si>
    <t>STE ALLO MECANO</t>
  </si>
  <si>
    <t>STE ASIE AUTOMOBILE SERVICES</t>
  </si>
  <si>
    <t>STE PIECES AUTO NAIMA "PAN"</t>
  </si>
  <si>
    <t>T R A P S A</t>
  </si>
  <si>
    <t>HEDI ELHADEF  ( AGIL )</t>
  </si>
  <si>
    <t>EL WIFAK AUTO</t>
  </si>
  <si>
    <t>SALAH MHIRI</t>
  </si>
  <si>
    <t>OUARDA HALLOUMI-TOTAL</t>
  </si>
  <si>
    <t>STE SUD MOTORS SRVIVES AUTO</t>
  </si>
  <si>
    <t>SOCIETE MBG</t>
  </si>
  <si>
    <t>CHIMICOULEURS</t>
  </si>
  <si>
    <t>TOTAL TUNISIE</t>
  </si>
  <si>
    <t>LES VIGNERONS DE CARTHAGE</t>
  </si>
  <si>
    <t>MUNC.BOUMHAL BASSATINE</t>
  </si>
  <si>
    <t>CHIBANI BEN SALEM TAYEB</t>
  </si>
  <si>
    <t>STE MANEL AUTO-SOMA-</t>
  </si>
  <si>
    <t>MESSAOUD ETTAIEB</t>
  </si>
  <si>
    <t>STE KRIAA GENERALE PIECES</t>
  </si>
  <si>
    <t>STATION DE SERVICE SHELL</t>
  </si>
  <si>
    <t>STE C.D.S</t>
  </si>
  <si>
    <t>MOUSSAOUI NOUREDDINE</t>
  </si>
  <si>
    <t>MAHER BEN ABID</t>
  </si>
  <si>
    <t>STE CHRONO CLEAN PLUS</t>
  </si>
  <si>
    <t>MIN. DE L'AGR. CRDA SOUSSE</t>
  </si>
  <si>
    <t>MUNICIPALITE DE MORNAG</t>
  </si>
  <si>
    <t>STE YOUSSEF DHOUIOUI</t>
  </si>
  <si>
    <t>STE MATEUR QUINC [SOGEMAQ]</t>
  </si>
  <si>
    <t>BECHIR BOUCEDRA</t>
  </si>
  <si>
    <t>GENERALE EQUIP.INDUSTRIELES</t>
  </si>
  <si>
    <t>STE DARDOURI AUTO SERVICES</t>
  </si>
  <si>
    <t>AMMAR BEN DHOU KARRAB</t>
  </si>
  <si>
    <t>AGENCE FONCIERE AGRICOLE</t>
  </si>
  <si>
    <t>STE OULED SASSI</t>
  </si>
  <si>
    <t>MEJRI DE PNEUMATIQUE "SMP"</t>
  </si>
  <si>
    <t>STE BEN EL HEDI ET COMPAGNIE</t>
  </si>
  <si>
    <t>ATECH RENT CAR</t>
  </si>
  <si>
    <t>STE MESTIRI&amp;FILS TRAV.PUBLIC</t>
  </si>
  <si>
    <t>SOCIETE SABA</t>
  </si>
  <si>
    <t>S.T.B.G.</t>
  </si>
  <si>
    <t>SOCIETE EL FOULEDH</t>
  </si>
  <si>
    <t>INS.NAT.RECH.AGRON-INRAT</t>
  </si>
  <si>
    <t>MIN.EQUIPEMENT ET HABITAT</t>
  </si>
  <si>
    <t>TUNISAIR</t>
  </si>
  <si>
    <t>ETABLISSEMENT DE LA RADIO</t>
  </si>
  <si>
    <t>STE MAHDI TRANSPORT</t>
  </si>
  <si>
    <t>STE DES CIMENTS D ENFIDHA</t>
  </si>
  <si>
    <t>STE PETRO-MED SARL</t>
  </si>
  <si>
    <t>MIN.AGRICULTURE CRDA GABES</t>
  </si>
  <si>
    <t>VENTOISE AUTO-SERVICES</t>
  </si>
  <si>
    <t>NAASRI AHMED B MED HEDI</t>
  </si>
  <si>
    <t>MOUFIDA FELHI</t>
  </si>
  <si>
    <t>STE MATECH</t>
  </si>
  <si>
    <t>STE ENTREPRISES SABBEH RAFIK</t>
  </si>
  <si>
    <t>O.T.D AGRO-COMBINET BOUZOUIT</t>
  </si>
  <si>
    <t>NORTH AFRICA TRADE COMPANY</t>
  </si>
  <si>
    <t>STE SOUISSI AUTO PARTS</t>
  </si>
  <si>
    <t>STE MATER ET EQUIP . BICHIOU</t>
  </si>
  <si>
    <t>OFF MARINE MARCHANDE &amp; PORTS</t>
  </si>
  <si>
    <t>SOCIETE TKAYA</t>
  </si>
  <si>
    <t>SOLTANI HSAN B.MBAREK</t>
  </si>
  <si>
    <t>SOCIETE NOUVELLE DE BOISSONS</t>
  </si>
  <si>
    <t>STE DIVERS SERVICES</t>
  </si>
  <si>
    <t>LOUKIL VEHICULES INDUSTRIELS</t>
  </si>
  <si>
    <t>KOUKI FAOUZI BEN MILED</t>
  </si>
  <si>
    <t>USINE NOUVELLE DE PATES</t>
  </si>
  <si>
    <t>MIN D'ENVIRONNEMENT</t>
  </si>
  <si>
    <t>MIN.EQUIP. DIR.REG. ZAGHOUAN</t>
  </si>
  <si>
    <t>STE NACEUR AUTOM.SERVICES</t>
  </si>
  <si>
    <t>STE DOUBLE L AUTOS</t>
  </si>
  <si>
    <t>STE AMARA RAPIDES SERVICES</t>
  </si>
  <si>
    <t>SOUAD BENT AHMED ABBOUD</t>
  </si>
  <si>
    <t>ZIED ABDELMALEK</t>
  </si>
  <si>
    <t>STE CHERIF ELECTRICITE AUTO</t>
  </si>
  <si>
    <t>STE SIPRAMA</t>
  </si>
  <si>
    <t>SALAKTA FERTILISER COMPANY</t>
  </si>
  <si>
    <t>TALEB RAFIK BEN MOHAMED</t>
  </si>
  <si>
    <t>S.T.E.G DISTRICT SOUSSE NORD</t>
  </si>
  <si>
    <t>STE SOCOFA</t>
  </si>
  <si>
    <t>HABIB PIECES AUTO</t>
  </si>
  <si>
    <t>STE ATLAS AUTO</t>
  </si>
  <si>
    <t>MINISTERE  DE LA JUSTICE</t>
  </si>
  <si>
    <t>SEDGHIANI ABDELHAFID</t>
  </si>
  <si>
    <t>MANSOURI ABDELMAJID BEN MED</t>
  </si>
  <si>
    <t>STE EL AMEN</t>
  </si>
  <si>
    <t>STE TUN.DES BOISSONS DU NORD</t>
  </si>
  <si>
    <t>SOCIETE AU COEUR DU DESERT</t>
  </si>
  <si>
    <t>STE     S-G-S-S</t>
  </si>
  <si>
    <t>COMMUNE KALAA KEBIRA</t>
  </si>
  <si>
    <t>SOCIETE MEDICAR</t>
  </si>
  <si>
    <t>OFF NAT. DE LA FAMILLE &amp; POP</t>
  </si>
  <si>
    <t>STE YASSINE PETROLIUM</t>
  </si>
  <si>
    <t>STE MEDHIOUB PIECES AUTOS</t>
  </si>
  <si>
    <t>MASSUCCOT AFFRICA</t>
  </si>
  <si>
    <t>STE COMPTOIR AUTO BOUSSLAMA</t>
  </si>
  <si>
    <t>SAMIHA BEN DHAFER</t>
  </si>
  <si>
    <t>EQUIPEMENT HYDRAULIQUES</t>
  </si>
  <si>
    <t>JAPANESE MOTORS COMPANY</t>
  </si>
  <si>
    <t>FLAH AMINALLAH</t>
  </si>
  <si>
    <t>CENTRALE.MATERIEL&amp;EQUIP CME</t>
  </si>
  <si>
    <t>JOMAA BENT MABROUK NAJII</t>
  </si>
  <si>
    <t xml:space="preserve">    SOGEPIA</t>
  </si>
  <si>
    <t>STE AQUACULTURE SEA FOODS</t>
  </si>
  <si>
    <t>SO.M.E.G</t>
  </si>
  <si>
    <t>SOCIETE EL HOUIOUI</t>
  </si>
  <si>
    <t>STE BRIQUETERIE BIR MCHERGUA</t>
  </si>
  <si>
    <t>STE PROD CAR TUNISIE</t>
  </si>
  <si>
    <t>CLIENT PASSAGER - GAFSA</t>
  </si>
  <si>
    <t>GROCOMA</t>
  </si>
  <si>
    <t>STE MRABET AUTO</t>
  </si>
  <si>
    <t>WISSAL CHALGHOUM</t>
  </si>
  <si>
    <t>STE MARETH AUTO SERVICES</t>
  </si>
  <si>
    <t>STE.GALVAN.TRANSPORT.METAUX</t>
  </si>
  <si>
    <t>OUN ALLAH SALAHEDDINE</t>
  </si>
  <si>
    <t>G.A.N STIBOIS</t>
  </si>
  <si>
    <t>O.T.D    A / C SIDI CHAMAKH</t>
  </si>
  <si>
    <t>SOCIETE MAGASIN GENERAL</t>
  </si>
  <si>
    <t>KHOULOUD EXPRESS</t>
  </si>
  <si>
    <t>STE BENKHAMOU AUTOS MOTOS</t>
  </si>
  <si>
    <t>COMPTOIR GENERAL DE BATIMENT</t>
  </si>
  <si>
    <t>STE. EMB. AL &amp; BOISSONS GAZ.</t>
  </si>
  <si>
    <t>SOCIETE SAFIR</t>
  </si>
  <si>
    <t>STE BEN SALAH.TRAVAUX PUBLIC</t>
  </si>
  <si>
    <t>STE HAMMAMI BEST HARDWARE</t>
  </si>
  <si>
    <t>CAISSE NAT. RETRAITE &amp; P.S.</t>
  </si>
  <si>
    <t>FETHI MISSAOUI</t>
  </si>
  <si>
    <t>CENTRE NTIONAL PEDAGOGIQUE</t>
  </si>
  <si>
    <t>STE AUTO PRO</t>
  </si>
  <si>
    <t>STE INVST.HOTELIERS MOURADI</t>
  </si>
  <si>
    <t>STE MEKINA</t>
  </si>
  <si>
    <t>SOTUNOL</t>
  </si>
  <si>
    <t>STE BRAHEM AUTO</t>
  </si>
  <si>
    <t>STE   B.Y.S   AUTOMOBILE</t>
  </si>
  <si>
    <t>COMPTOIRS SFAXIENS</t>
  </si>
  <si>
    <t xml:space="preserve">      SORECOM</t>
  </si>
  <si>
    <t>STE " SO TRA PRO "</t>
  </si>
  <si>
    <t>ETABLISS. MOURAD BEN NASR</t>
  </si>
  <si>
    <t>STE LINA AUTO</t>
  </si>
  <si>
    <t>STE TUN.PCE.RECH.ALM.SOTUPRA</t>
  </si>
  <si>
    <t>CLIENT PASSAGER GAFSA</t>
  </si>
  <si>
    <t>DHIFALLAH MOKHTAR B DHAOU</t>
  </si>
  <si>
    <t>STE TRUCKS GROS</t>
  </si>
  <si>
    <t>STE NASR CONTRACTORS</t>
  </si>
  <si>
    <t>SOCIETE EL KANAOUAT</t>
  </si>
  <si>
    <t>SO IN DI</t>
  </si>
  <si>
    <t>SOCIETE AGENCES DE VOYAGES</t>
  </si>
  <si>
    <t>T U N I C O M</t>
  </si>
  <si>
    <t>NASR CHAHRAZED BT MAHMOUD</t>
  </si>
  <si>
    <t>STE TECH.INDUST.COMMERCIALE</t>
  </si>
  <si>
    <t>STE PIECES AUTOS JAPONAISES</t>
  </si>
  <si>
    <t>TENNE DE PEINTURES-ASTRAL</t>
  </si>
  <si>
    <t>COMPT.IND.ET FOUR.AUTOS CIFA</t>
  </si>
  <si>
    <t>GHELIOU ALI</t>
  </si>
  <si>
    <t>ALI LAYOUNI- STATION SHELL</t>
  </si>
  <si>
    <t>STE BSA VOYAGES</t>
  </si>
  <si>
    <t>SOTUBISE</t>
  </si>
  <si>
    <t>STE AGRICOLE SIDI OTHMANE</t>
  </si>
  <si>
    <t>STEF.TARNSPORT.MARCHANDISE</t>
  </si>
  <si>
    <t>SONOBOIS</t>
  </si>
  <si>
    <t>STE NEW SPACE TRAVEL AGENCY</t>
  </si>
  <si>
    <t>STE H B A  AUTO</t>
  </si>
  <si>
    <t>S T A M</t>
  </si>
  <si>
    <t>NEGGAZ MONGI</t>
  </si>
  <si>
    <t>KHAYATI LASSAD B.NOUREDDINE</t>
  </si>
  <si>
    <t>MONGI BEN BRAHIM</t>
  </si>
  <si>
    <t>STE BSA IMMOBILIERE</t>
  </si>
  <si>
    <t>SOUAD BENT HEDI KALAI</t>
  </si>
  <si>
    <t>LACERAMIC S A</t>
  </si>
  <si>
    <t>KRIAA AHMED</t>
  </si>
  <si>
    <t>STE DES PROD. SIDERURGIQUES</t>
  </si>
  <si>
    <t>STE GLOBAL ACIER</t>
  </si>
  <si>
    <t>ABBES HICHEM B.AHMED</t>
  </si>
  <si>
    <t>OTD ESSALAMA</t>
  </si>
  <si>
    <t>STE CARRIERES BOUZAIENE</t>
  </si>
  <si>
    <t>SOCIETE TUNISIENNE DE BANQUE</t>
  </si>
  <si>
    <t>ETS. AYADI ABDEL-ILAH</t>
  </si>
  <si>
    <t>CENT.NAT.MAINT.MIN.EDUCATION</t>
  </si>
  <si>
    <t>MOUFIDA BT MED AKRMI FELHI</t>
  </si>
  <si>
    <t>INST.NLE.AGRON. DE TUNISIE</t>
  </si>
  <si>
    <t>CHORFI FOUED</t>
  </si>
  <si>
    <t>GHARBI MONGI</t>
  </si>
  <si>
    <t>CODULIP</t>
  </si>
  <si>
    <t>MOHAMED BEN SALAH BENHASSEN</t>
  </si>
  <si>
    <t>MAHER HADDAD</t>
  </si>
  <si>
    <t>SEBEI TAOUFIK BEN MOHAMED</t>
  </si>
  <si>
    <t>SOGEMCO</t>
  </si>
  <si>
    <t>ETS GUIBANE FRERES</t>
  </si>
  <si>
    <t>HEDI BOUZIRI</t>
  </si>
  <si>
    <t>STE BEN MESSAOUD FRERES</t>
  </si>
  <si>
    <t>STE ZE.D.CA.D</t>
  </si>
  <si>
    <t>STE ABDELKAFI PIECES DE</t>
  </si>
  <si>
    <t>MUNICIPALITE  M'HAMDIA</t>
  </si>
  <si>
    <t>ATLAS PEINTURE</t>
  </si>
  <si>
    <t>BECHA RENT A CAR</t>
  </si>
  <si>
    <t>STE BRIQUETERIE JBEL OUEST</t>
  </si>
  <si>
    <t>MUNICIPALITE DE BARDO</t>
  </si>
  <si>
    <t>SOCIETE POLYBETON</t>
  </si>
  <si>
    <t>LES CIMENTS D'OUM EL KHELIL</t>
  </si>
  <si>
    <t>STE DU DJEBEL DJRISSA</t>
  </si>
  <si>
    <t>STE KHRIJI PIECE AUTO</t>
  </si>
  <si>
    <t>SOCIETE PATES WARDA</t>
  </si>
  <si>
    <t xml:space="preserve">      O.A.C.A</t>
  </si>
  <si>
    <t>STE SAMFI</t>
  </si>
  <si>
    <t>STE BODO BETON</t>
  </si>
  <si>
    <t>MUNICIPALITE SOMMA</t>
  </si>
  <si>
    <t>STE.TRANSPOPT PAR PIPE LINE</t>
  </si>
  <si>
    <t>STE EXP &amp; DE PROMT.TOURISTQ</t>
  </si>
  <si>
    <t>ALI BEN MOHAMED JENDOUBI</t>
  </si>
  <si>
    <t>GOUVERNORAT DE TUNIS</t>
  </si>
  <si>
    <t>SOCIETE PROINJECT</t>
  </si>
  <si>
    <t>COMPAGNIE TNNE DE NAVIG.</t>
  </si>
  <si>
    <t>OFFICE NATIONAL DES MINES</t>
  </si>
  <si>
    <t>G O V P F</t>
  </si>
  <si>
    <t>TRIMECHE ZOUHEIR " MOBIL "</t>
  </si>
  <si>
    <t>STE CARTHAGO</t>
  </si>
  <si>
    <t>GENERAL PNEU PIECES RECH</t>
  </si>
  <si>
    <t>STE SLAMA TECH.AVCEE.FROID</t>
  </si>
  <si>
    <t>CTR. NATNAL.FORMATION.CONTIN</t>
  </si>
  <si>
    <t>DIRC.REGIONAL.POSTES.BIZERTE</t>
  </si>
  <si>
    <t>STE LES 3 M</t>
  </si>
  <si>
    <t>STE RABII DE TRANS TERRESTRE</t>
  </si>
  <si>
    <t>STE YASMINE</t>
  </si>
  <si>
    <t>SOCIETE TUNISIE TRAVAUX</t>
  </si>
  <si>
    <t>BSA RENT A CAR</t>
  </si>
  <si>
    <t>EL MOURADI PALACE</t>
  </si>
  <si>
    <t>SFAX PNEUS</t>
  </si>
  <si>
    <t>STE GROUPE SRVICES AGRICOLES</t>
  </si>
  <si>
    <t>SOCIETE    A L M E S</t>
  </si>
  <si>
    <t>STE LOUSSAIEF ET FILS [SLEF]</t>
  </si>
  <si>
    <t>STE SODIV</t>
  </si>
  <si>
    <t>KAFI MOHAMED CHERIF</t>
  </si>
  <si>
    <t>PRO 1 AUTO</t>
  </si>
  <si>
    <t>Université DE JENDOUBA</t>
  </si>
  <si>
    <t>SOCIETE ZARRAD ET CIE</t>
  </si>
  <si>
    <t>MUNICIPALITE DE  RAFRAF</t>
  </si>
  <si>
    <t>MOEZ TAIEB</t>
  </si>
  <si>
    <t>STE LAC RENT A CAR</t>
  </si>
  <si>
    <t>STE AFRIVISION SERVICES</t>
  </si>
  <si>
    <t>SAYARA  S.A</t>
  </si>
  <si>
    <t>STE JAZIRI ENERGY AND SERVCE</t>
  </si>
  <si>
    <t>MIN.TECH.COM&amp;ECONO.NUMERIQUE</t>
  </si>
  <si>
    <t>STE AGRICOLE SAOUEF</t>
  </si>
  <si>
    <t>MIN ENSEIGNEMENT SUPERIEUR</t>
  </si>
  <si>
    <t>ABICHOU MOHAMED HEDI</t>
  </si>
  <si>
    <t>STE NUTRIMIX</t>
  </si>
  <si>
    <t>STE DE TRANSPORT NORD-SUD</t>
  </si>
  <si>
    <t>STE RAWCHEM AUTO PARTS</t>
  </si>
  <si>
    <t>REGIE SONDAGES HYDRAULIQUES</t>
  </si>
  <si>
    <t>LES HERITIERS AHMED EL KATEB</t>
  </si>
  <si>
    <t>SOC AZHER.PIECE.RECH.PRO AGR</t>
  </si>
  <si>
    <t>S E R E P T</t>
  </si>
  <si>
    <t>SOCIETE ENNAJI</t>
  </si>
  <si>
    <t>DIRECTION REGEIONALE.JUSTICE</t>
  </si>
  <si>
    <t>ETS. FAIZA GARG. &amp; BOUHAMED</t>
  </si>
  <si>
    <t>DIR.REG.DE LA JUSTICE SOUSSE</t>
  </si>
  <si>
    <t>BEN SALEM LAKHDAR</t>
  </si>
  <si>
    <t>BELHOULA ABDELKARIM</t>
  </si>
  <si>
    <t>SOCIETE CEDRIA</t>
  </si>
  <si>
    <t>ESPADON CONCEPT</t>
  </si>
  <si>
    <t>STE GENERALE PIECCE.RECHANGE</t>
  </si>
  <si>
    <t>STE L'EPI D'OR DISTIBUTION</t>
  </si>
  <si>
    <t>JALEL BEN TAHER BEN GUIDER</t>
  </si>
  <si>
    <t>STE COMPTOIR TUN.D'ALUMINIUM</t>
  </si>
  <si>
    <t>SOCIETE AMIN RENT A CAR</t>
  </si>
  <si>
    <t>DIR.REG.EQUIP.&amp; HABITAT SFAX</t>
  </si>
  <si>
    <t>STE DE DISTRIBUTION ERRAFAHA</t>
  </si>
  <si>
    <t>ENTRE. MED MAJID KRIA&amp;FILS</t>
  </si>
  <si>
    <t>STE BOU SABAT AUTO</t>
  </si>
  <si>
    <t>STAR OIL S.A.</t>
  </si>
  <si>
    <t>BAHRI GNAOUI</t>
  </si>
  <si>
    <t>STE       G .A . M</t>
  </si>
  <si>
    <t>RAHLIYA HAFSIA BENT SUILAH</t>
  </si>
  <si>
    <t>LAJNAF SALHA</t>
  </si>
  <si>
    <t>STE     " SOTEV "</t>
  </si>
  <si>
    <t>MIN.EQUIP. DIR.REG. MANNOUBA</t>
  </si>
  <si>
    <t>CHEBBI BATT</t>
  </si>
  <si>
    <t>CENTRALE MAGASIN GENERAL</t>
  </si>
  <si>
    <t>KAYAL MAHER BEN MOHAMED</t>
  </si>
  <si>
    <t>TRABELSI LOTFI</t>
  </si>
  <si>
    <t>CROISSANT ROUGE TUNISIEN</t>
  </si>
  <si>
    <t>AGENCE TUNIS AFRIQUE PRESSE</t>
  </si>
  <si>
    <t>S O D E P S</t>
  </si>
  <si>
    <t>MUNICIPALITE  MENZEL CHAKER</t>
  </si>
  <si>
    <t>STE PNEUS&amp;SERVICES TECHNIQUE</t>
  </si>
  <si>
    <t>WAHID BEN BCHIR SAIDI</t>
  </si>
  <si>
    <t>STE TNNE D'AVICULTURE</t>
  </si>
  <si>
    <t>SAADAOUI ABDALLAH B AMMAR</t>
  </si>
  <si>
    <t>DRISS MOHAMED BEN SADOK</t>
  </si>
  <si>
    <t>STE AUTO PLUS</t>
  </si>
  <si>
    <t>STE BARAKA DU METAL ET FER</t>
  </si>
  <si>
    <t>SOCIETE NOUR DISTRIBUTION</t>
  </si>
  <si>
    <t>GPE CHIMIQUE TUNI- AMONITRE</t>
  </si>
  <si>
    <t>SOCIETE ZGOLLI TRAC</t>
  </si>
  <si>
    <t>STE NEW SECURITY SERVICES</t>
  </si>
  <si>
    <t>STE SACOPA</t>
  </si>
  <si>
    <t>BEN ABDALLAH HAFIDH MOHAMED</t>
  </si>
  <si>
    <t>STE INVST.TOURISTIQUE.SAHEL</t>
  </si>
  <si>
    <t>STE ECOFROID INDUSTRIES</t>
  </si>
  <si>
    <t>C.R.D.A  DE TUNIS</t>
  </si>
  <si>
    <t>STE HAMMAMI TRANSPORT</t>
  </si>
  <si>
    <t>STE AGRICOLE EL JENENE</t>
  </si>
  <si>
    <t>TIR VEGA</t>
  </si>
  <si>
    <t>STE CHAHRAZED</t>
  </si>
  <si>
    <t>STE NORCINE PIECES AUTO</t>
  </si>
  <si>
    <t>STE AGRICOLE SIDI DAOUD</t>
  </si>
  <si>
    <t>STE TAZOGHRANE</t>
  </si>
  <si>
    <t>AL JAWHARA LOCATION VOITURE</t>
  </si>
  <si>
    <t>CENTRE NATIONAL DE FORMATION</t>
  </si>
  <si>
    <t>STE COGEB IMMOBILIERE</t>
  </si>
  <si>
    <t>STE MEUNIERE DU CENTRE SOMEC</t>
  </si>
  <si>
    <t>KAMMOUN NACEUR</t>
  </si>
  <si>
    <t>STE HOTELERIE PORT PRINCE</t>
  </si>
  <si>
    <t>TUNISAIR TECHNICS</t>
  </si>
  <si>
    <t>S O R A M A P</t>
  </si>
  <si>
    <t>OACA</t>
  </si>
  <si>
    <t>DJEBBI SALWA BENT AMOR</t>
  </si>
  <si>
    <t>ABBASSI RAOUF BEN BECHIR</t>
  </si>
  <si>
    <t>STE SIMCOM</t>
  </si>
  <si>
    <t>A P I A</t>
  </si>
  <si>
    <t>MINISTERE DU TOURISME</t>
  </si>
  <si>
    <t>SOCIETE ENNAJAH</t>
  </si>
  <si>
    <t>STE D'EMBALLAGE METALLIQUE</t>
  </si>
  <si>
    <t>AVEA MAGHREB</t>
  </si>
  <si>
    <t>STE AGRICOLE DAKHLA</t>
  </si>
  <si>
    <t>EL MOURADI AFRICA</t>
  </si>
  <si>
    <t>STE.NAT.DE CELLULOSE ET DE</t>
  </si>
  <si>
    <t>CENTRE NAT.FOR. RECYC.CADRES</t>
  </si>
  <si>
    <t>STE POIDS LOURD SUD</t>
  </si>
  <si>
    <t>S.TNNE MINOTERIE &amp;SEMOULERIE</t>
  </si>
  <si>
    <t>STE TOURISTIQUE EL MOURADI</t>
  </si>
  <si>
    <t>AGROMED SA</t>
  </si>
  <si>
    <t>L'AMICALE ANGED</t>
  </si>
  <si>
    <t>STE ESSALAMA</t>
  </si>
  <si>
    <t>STE TIMAR TUNISIE ON SHORE</t>
  </si>
  <si>
    <t>LUBRIFIA MAX MECANIC DISTR</t>
  </si>
  <si>
    <t>QUALITY PARTS ALLIANCE</t>
  </si>
  <si>
    <t>PLANET EXPRESS EQUIP.DISTR</t>
  </si>
  <si>
    <t>BUANDERIE CENTRALE EL MOURAD</t>
  </si>
  <si>
    <t>STE TOURISTIQUE MOURADI</t>
  </si>
  <si>
    <t>STE MAROUA ESSAFA TRANSPORT</t>
  </si>
  <si>
    <t>STE EL KARMA SRCES AGRICOLES</t>
  </si>
  <si>
    <t>TOUIHRI HICHEM B.HASSEN</t>
  </si>
  <si>
    <t>POULINA GROUP HOLDING</t>
  </si>
  <si>
    <t>OFFICE  DU COMMERCE</t>
  </si>
  <si>
    <t>STE SIGA</t>
  </si>
  <si>
    <t>INST.SUP. DE LA MAGISTRATURE</t>
  </si>
  <si>
    <t>HASSEN BEN TAIEB BOUTRIF</t>
  </si>
  <si>
    <t>STE GOLF EQUIPEMENT MODERNE</t>
  </si>
  <si>
    <t>TIBA IMMOBILIERE</t>
  </si>
  <si>
    <t>AFRICA INDUSTRIE</t>
  </si>
  <si>
    <t>JAMMALI SAHBI</t>
  </si>
  <si>
    <t>STE TOURST.HERMALE KROUMIRIE</t>
  </si>
  <si>
    <t>MIN. D'INDUSTRIE &amp; D'ENERGIE</t>
  </si>
  <si>
    <t>RAMZI B RAHMANI B HJ HAMMADI</t>
  </si>
  <si>
    <t>BAHKLI  ABDELWAHAB</t>
  </si>
  <si>
    <t>KHELIFI POUR FILTRES &amp; HUILE</t>
  </si>
  <si>
    <t>ETS SALAH KOTNI 2</t>
  </si>
  <si>
    <t>LOTFI BADRI BEN MESSOUD</t>
  </si>
  <si>
    <t>ELECTRIC AUTO JEMMAL</t>
  </si>
  <si>
    <t>MIN FINANCES-D.GEN. DOUANES</t>
  </si>
  <si>
    <t>CHEBBI HEDIA</t>
  </si>
  <si>
    <t xml:space="preserve">Target avg. Net sales price p/u after Sep. increase (TND) </t>
  </si>
  <si>
    <r>
      <t>Average Net Selling Price from september 2022 (</t>
    </r>
    <r>
      <rPr>
        <b/>
        <sz val="16"/>
        <color rgb="FFFFFF00"/>
        <rFont val="Calibri"/>
        <family val="2"/>
        <charset val="204"/>
        <scheme val="minor"/>
      </rPr>
      <t>+9%</t>
    </r>
    <r>
      <rPr>
        <b/>
        <sz val="12"/>
        <color rgb="FFFFFFFF"/>
        <rFont val="Calibri"/>
        <family val="2"/>
        <charset val="204"/>
        <scheme val="minor"/>
      </rPr>
      <t>)(</t>
    </r>
    <r>
      <rPr>
        <b/>
        <sz val="11"/>
        <color rgb="FFFFFFFF"/>
        <rFont val="Calibri"/>
        <family val="2"/>
        <scheme val="minor"/>
      </rPr>
      <t>DT)</t>
    </r>
  </si>
  <si>
    <t>starter batteries</t>
  </si>
  <si>
    <t>TOTAL MARINE</t>
  </si>
  <si>
    <t>% / total sales</t>
  </si>
  <si>
    <t>TOTAL PREMIUM</t>
  </si>
  <si>
    <t>TOTAL SMART</t>
  </si>
  <si>
    <t>TOTAL Smart EFB</t>
  </si>
  <si>
    <t>106N11</t>
  </si>
  <si>
    <t>Total Power</t>
  </si>
  <si>
    <t>10M16MF</t>
  </si>
  <si>
    <t>TOTAL Jumbo</t>
  </si>
  <si>
    <t>10TAXIBAD</t>
  </si>
  <si>
    <t>10TAXIBAE</t>
  </si>
  <si>
    <t>TOTAL TAXI</t>
  </si>
  <si>
    <t>% / total ventes</t>
  </si>
  <si>
    <t>TOTAL HD</t>
  </si>
  <si>
    <t>Name of client</t>
  </si>
  <si>
    <t>GCC</t>
  </si>
  <si>
    <t>Avg. Net sales price p/u YTD Dec (TND)</t>
  </si>
  <si>
    <t>Traget</t>
  </si>
  <si>
    <t>2022 YTD Dec sales</t>
  </si>
  <si>
    <t>2022 YTD Dec sales - TOP SKU</t>
  </si>
  <si>
    <t>10PM10S</t>
  </si>
  <si>
    <t>10PM12S</t>
  </si>
  <si>
    <t>10PM11SD</t>
  </si>
  <si>
    <t>15-4EPZS420</t>
  </si>
  <si>
    <t>15-5EPZS775</t>
  </si>
  <si>
    <t>10PM11S</t>
  </si>
  <si>
    <t>15-8EPZS720</t>
  </si>
  <si>
    <t>00H2OV</t>
  </si>
  <si>
    <t>00H2O20L</t>
  </si>
  <si>
    <t>CAISSON</t>
  </si>
  <si>
    <t>10PM10SD</t>
  </si>
  <si>
    <t>00H2O1L</t>
  </si>
  <si>
    <t>AVOIR</t>
  </si>
  <si>
    <t>AVOIR FINACIER</t>
  </si>
  <si>
    <t>AVOIR FINANCIER</t>
  </si>
  <si>
    <t>GHRIBI HOUCINE BEN AMMAR</t>
  </si>
  <si>
    <t>STE VERT AUTO</t>
  </si>
  <si>
    <t>STE TUN.TRANS.PROD.MINIER</t>
  </si>
  <si>
    <t>MINISTERE DEFENSE NATIONA</t>
  </si>
  <si>
    <t>MIN.AGR.-  DIR. D.G.B  G.</t>
  </si>
  <si>
    <t>MUNICIPALITE KAIROUAN</t>
  </si>
  <si>
    <t>SALIHA BT MOKHTAR B.MOHAM</t>
  </si>
  <si>
    <t>STE COGEPA BE AROUS</t>
  </si>
  <si>
    <t>BEN CHAABEN ZIED B TAIEB</t>
  </si>
  <si>
    <t>STE DILINA MOTEUR</t>
  </si>
  <si>
    <t>JAMEL BEN ALI TRIKI</t>
  </si>
  <si>
    <t>CENTRE D'ESSAIS ET DES TE</t>
  </si>
  <si>
    <t>D.ACHAT&amp;TRANSIT ARMEE DE MER</t>
  </si>
  <si>
    <t>GROUPE CHIMIQUE TUNISIEN</t>
  </si>
  <si>
    <t>MIN.EQU.DIR.REGIONALE KEB</t>
  </si>
  <si>
    <t>AUTO TRADE COMPANY</t>
  </si>
  <si>
    <t>MOHAMED SALAH RIDENE</t>
  </si>
  <si>
    <t>STE DARDOURI AUTO</t>
  </si>
  <si>
    <t>INST.NATIONAL DU PATRIMOI</t>
  </si>
  <si>
    <t>STE MULTITOOLS</t>
  </si>
  <si>
    <t>STE SAT INFINITIF</t>
  </si>
  <si>
    <t>CHEBBI OUSSAMA B.FAYCEL</t>
  </si>
  <si>
    <t>S O C O M A F</t>
  </si>
  <si>
    <t>STE KHLIF</t>
  </si>
  <si>
    <t>STE ESPACE ZORRAGA AUTO</t>
  </si>
  <si>
    <t>STE MAHDIA AUTO</t>
  </si>
  <si>
    <t>STE BR AUTO</t>
  </si>
  <si>
    <t>STE MA . APC</t>
  </si>
  <si>
    <t>STE CHARFEDDINE RATEL ET CIE</t>
  </si>
  <si>
    <t>STE.CONSERVES MODNRS.CAP BON</t>
  </si>
  <si>
    <t>MUNICIPALITE EL ALIA</t>
  </si>
  <si>
    <t>STE FABIO ELECTRIQUE S-F-</t>
  </si>
  <si>
    <t>GHONIA BECHIR BEN MOSBAH</t>
  </si>
  <si>
    <t>STE COMPTOIR.PIECE.FRANCA</t>
  </si>
  <si>
    <t>STE BAYA AUTO PLUS</t>
  </si>
  <si>
    <t>MUNICIPALITE ETTADHAMEN</t>
  </si>
  <si>
    <t>STE JEDEIDA PIECES AUTO</t>
  </si>
  <si>
    <t>WALID BEN AYED</t>
  </si>
  <si>
    <t>COMPTOIR DOUICK DE PIECES</t>
  </si>
  <si>
    <t>MEUBLATEX</t>
  </si>
  <si>
    <t>JEMAOUI MONGI B RAIES</t>
  </si>
  <si>
    <t>MADDOURI JNINA</t>
  </si>
  <si>
    <t>JAADI PIECES AUTO    "J.P.A"</t>
  </si>
  <si>
    <t>S.I.T.E.P.</t>
  </si>
  <si>
    <t>YAAKOUBI SAIDA</t>
  </si>
  <si>
    <t>MINISTERE DE L'AGRICULTUR</t>
  </si>
  <si>
    <t>STE SRIHA PIECES AUTOS</t>
  </si>
  <si>
    <t>SOCIETE SOHAG</t>
  </si>
  <si>
    <t>AUTO PARTS TRADING SERVICES</t>
  </si>
  <si>
    <t>STE MODERNE.COLLECTE.DECHETS</t>
  </si>
  <si>
    <t>MIN DE LA CULTURE</t>
  </si>
  <si>
    <t>SMVDA RAOUDHA</t>
  </si>
  <si>
    <t>SOCIETE DE NUTRITION ANIMALE</t>
  </si>
  <si>
    <t>TUNISO-ANDALOUSE.CMENT.BLANC</t>
  </si>
  <si>
    <t>C O P I M</t>
  </si>
  <si>
    <t>CHOUIKHA ALAEDDINE B.MAHM</t>
  </si>
  <si>
    <t>STE SABLES VERRIERS.TUNIS</t>
  </si>
  <si>
    <t>STE EL BARAKA</t>
  </si>
  <si>
    <t>STE JOMAA</t>
  </si>
  <si>
    <t>CONSEIL REGIONAL DE BEJA</t>
  </si>
  <si>
    <t>STE TRUCK INTER.MOBILITY</t>
  </si>
  <si>
    <t>STE ALFATIMYA CARS</t>
  </si>
  <si>
    <t>STE HOTELIERE PORT PRINCE</t>
  </si>
  <si>
    <t>BANQUE NATIONALE DES GENE</t>
  </si>
  <si>
    <t>CHIMI COULEUR PEINTURE</t>
  </si>
  <si>
    <t>STE IMMOBILIERE LE COIN B</t>
  </si>
  <si>
    <t>YAHMADI AUTO PIECES</t>
  </si>
  <si>
    <t>STE  SOPRODI</t>
  </si>
  <si>
    <t>STE EL MOURADI POUR COMMERCE</t>
  </si>
  <si>
    <t>SOCIETE AGRICOLE EL HADAY</t>
  </si>
  <si>
    <t>AMICALE  A.T.D.C.D</t>
  </si>
  <si>
    <t>STE PANOBOIS</t>
  </si>
  <si>
    <t>STE GLOBAL TRADING</t>
  </si>
  <si>
    <t>STE CONSULTING MANAG.SERV</t>
  </si>
  <si>
    <t>CWA</t>
  </si>
  <si>
    <t xml:space="preserve">MONBAT </t>
  </si>
  <si>
    <t xml:space="preserve">EUROPE </t>
  </si>
  <si>
    <t>LIBYA</t>
  </si>
  <si>
    <t>MOROCCO</t>
  </si>
  <si>
    <t>Étiquettes de lignes</t>
  </si>
  <si>
    <t>battery</t>
  </si>
  <si>
    <t>Non-battery</t>
  </si>
  <si>
    <t>Bahrein</t>
  </si>
  <si>
    <t xml:space="preserve">BULGARIA                    </t>
  </si>
  <si>
    <t>Germany</t>
  </si>
  <si>
    <t>Italy</t>
  </si>
  <si>
    <t>Libya</t>
  </si>
  <si>
    <t>Morocco</t>
  </si>
  <si>
    <t>Poland</t>
  </si>
  <si>
    <t>Total général</t>
  </si>
  <si>
    <t xml:space="preserve">Value </t>
  </si>
  <si>
    <t xml:space="preserve">qty </t>
  </si>
  <si>
    <t>BATCAR Sp.J</t>
  </si>
  <si>
    <t>BATTERIEDIENST UWE HEMPE</t>
  </si>
  <si>
    <t>ERRAFIK EL DAYEM</t>
  </si>
  <si>
    <t>HYSY TECHNICK</t>
  </si>
  <si>
    <t>MARIBAT</t>
  </si>
  <si>
    <t>MED ENERGY BATTERY SRL</t>
  </si>
  <si>
    <t>MONBAT AD</t>
  </si>
  <si>
    <t xml:space="preserve">Nadheera Bahrein </t>
  </si>
  <si>
    <t>NOUR AKKUMULATOREN GmbH</t>
  </si>
  <si>
    <t xml:space="preserve">HT </t>
  </si>
  <si>
    <t>kg (Le)</t>
  </si>
  <si>
    <t xml:space="preserve">Somme de LE IN KG </t>
  </si>
  <si>
    <t>Produits D'exploitation</t>
  </si>
  <si>
    <t>Revenus</t>
  </si>
  <si>
    <t>Autres Revenus</t>
  </si>
  <si>
    <t>Production Immobilisée</t>
  </si>
  <si>
    <t>Total des Produits d'exploitation</t>
  </si>
  <si>
    <t>Charges D'exploitation</t>
  </si>
  <si>
    <t>Achats Marchandises Consommées</t>
  </si>
  <si>
    <t>Achats d'Approvisionnement Consommés</t>
  </si>
  <si>
    <t>Charges de Personnel</t>
  </si>
  <si>
    <t>Autres Charges d'Exploitation</t>
  </si>
  <si>
    <t>Total des Charges d'exploitation</t>
  </si>
  <si>
    <t>Résultat d'exploitation</t>
  </si>
  <si>
    <t>Charges Financières nettes</t>
  </si>
  <si>
    <t>Produits Financières , Placements</t>
  </si>
  <si>
    <t>Autres gains ordinaires</t>
  </si>
  <si>
    <t>Autres pertes ordinaires</t>
  </si>
  <si>
    <t>Résultat des activités ordinaires avant impôt</t>
  </si>
  <si>
    <t>Impots sur les bénéfices</t>
  </si>
  <si>
    <t>Résultat des activités ordinaires après impôt</t>
  </si>
  <si>
    <t>Eléments extraordinaires</t>
  </si>
  <si>
    <t>Résultat Net de l'exercice</t>
  </si>
  <si>
    <t>Dotation aux Provisions</t>
  </si>
  <si>
    <t>Dotation aux Amortissements</t>
  </si>
  <si>
    <t>Contract date</t>
  </si>
  <si>
    <t>Outstanding amount at December 31, 2022</t>
  </si>
  <si>
    <t xml:space="preserve">punshing line </t>
  </si>
  <si>
    <t>9/15/2022 (renewable each 3 months)</t>
  </si>
  <si>
    <t>Car export manager +car director SNR + car Security and envir manager</t>
  </si>
  <si>
    <t>Discount exchange letter (Escompte limit)</t>
  </si>
  <si>
    <t>Investment loan for recycling facility</t>
  </si>
  <si>
    <t>7 years, Interest = TMM + 2,25, partially repaymed by government grant of 15% * 13.5M (2.025M)</t>
  </si>
  <si>
    <t>Total bank/lease liabilities</t>
  </si>
  <si>
    <t>Investment loans from 2016-18</t>
  </si>
  <si>
    <t>Payments based on repayment schedule</t>
  </si>
  <si>
    <t>Revelover WC facility</t>
  </si>
  <si>
    <t>No payments but renewal each 3 months @ app. 9% interest</t>
  </si>
  <si>
    <t>Overdraft facility</t>
  </si>
  <si>
    <t>Constant excess of limit, no repayment</t>
  </si>
  <si>
    <t>Draft discount limit</t>
  </si>
  <si>
    <t>INVESTMENT LOAN SNR</t>
  </si>
  <si>
    <t>INVESTMENT LOAN SNA</t>
  </si>
  <si>
    <t>Car lease</t>
  </si>
  <si>
    <t>Expected future utilizations of contracted debt</t>
  </si>
  <si>
    <t>Total maximum debt</t>
  </si>
  <si>
    <t>needed target EBITDA</t>
  </si>
  <si>
    <t>(assuming 3x coverage)</t>
  </si>
  <si>
    <t>Balance at 31-Dec-22</t>
  </si>
  <si>
    <t>New punshing line and molds</t>
  </si>
  <si>
    <t>investment SND</t>
  </si>
  <si>
    <t>NBI/TIP</t>
  </si>
  <si>
    <t>only update petty cash and match with FS (CASH AND CASH EQUIVALENT)</t>
  </si>
  <si>
    <t>YTD Dec'22</t>
  </si>
  <si>
    <t>YTD Dec'21</t>
  </si>
  <si>
    <t>Partialy due to re-branding activitoes</t>
  </si>
  <si>
    <t>Q4'2022</t>
  </si>
  <si>
    <t>(EUR Q4 numbers calculated as a difference between YTD Dec and YTD Sep reported)</t>
  </si>
  <si>
    <t>Q4'22 FCST</t>
  </si>
  <si>
    <t>Act to Fcst Var</t>
  </si>
  <si>
    <t>pcs</t>
  </si>
  <si>
    <t>revenue</t>
  </si>
  <si>
    <t>Total 2021</t>
  </si>
  <si>
    <t>Q4'2021</t>
  </si>
  <si>
    <t>Dec'22 vs Q3'22</t>
  </si>
  <si>
    <t>Dec'22 vs Dec'21</t>
  </si>
  <si>
    <t>sep</t>
  </si>
  <si>
    <t>dec 22</t>
  </si>
  <si>
    <t>Dec21</t>
  </si>
  <si>
    <t>Dec22</t>
  </si>
  <si>
    <t>Provision</t>
  </si>
  <si>
    <t>FY 22</t>
  </si>
  <si>
    <t>FY 21</t>
  </si>
  <si>
    <t>EBITDA as per final conso. TND</t>
  </si>
  <si>
    <t>SOLDE AU 31/12/2022 APRES CONSOLIDATION</t>
  </si>
  <si>
    <t>STOCKAUTRES MACHINES</t>
  </si>
  <si>
    <t>3. Goods for resale</t>
  </si>
  <si>
    <t>EFFETS EN PROTEFEUIL</t>
  </si>
  <si>
    <t>Dec 2022</t>
  </si>
  <si>
    <t>WC Dec'22</t>
  </si>
  <si>
    <t>WC, Dec'22</t>
  </si>
  <si>
    <t xml:space="preserve">dec 22 </t>
  </si>
  <si>
    <t>dec 21</t>
  </si>
  <si>
    <t xml:space="preserve">Petty cash </t>
  </si>
  <si>
    <t>Dec'22 - EUR</t>
  </si>
  <si>
    <t>Dec'22 - USD</t>
  </si>
  <si>
    <t>of which:</t>
  </si>
  <si>
    <t>Total net debt related to business operations</t>
  </si>
  <si>
    <t>YoY delta, EUR</t>
  </si>
  <si>
    <t>Total net debt related to CAPEX projects, incl. cash in bank in SNR</t>
  </si>
  <si>
    <t>check</t>
  </si>
  <si>
    <t xml:space="preserve">* The top 5 clients contributing to the global export sales makes of 89% of total foreign market and can be divided as follow: 
- 58% ERRAFIK DAYEM (LYBIA)
- 17% BATCAR Sp.J (POLOND)
- 11% MONBAT (BULGARIA)
- 7% MARIABT (MOROCO)
- 7% BATTERIEDIENST UWE HEMPE (GERMANY)
* ERRAFIK DAYEM represents the largets buyer from our globat export sales. </t>
  </si>
  <si>
    <t xml:space="preserve">
* 14% of the local revenue comes from the Top 10 clients. 
* The agencies of MEGRINE, SFAX and SOUSSE makes of 72% of the total sales combined.  </t>
  </si>
  <si>
    <t>Local revenue</t>
  </si>
  <si>
    <t xml:space="preserve">VOLUME </t>
  </si>
  <si>
    <t xml:space="preserve">Prix moyen </t>
  </si>
  <si>
    <t xml:space="preserve">Effet prix </t>
  </si>
  <si>
    <t>Effet volume</t>
  </si>
  <si>
    <t xml:space="preserve">Export revenue </t>
  </si>
  <si>
    <t>CHARGE LOCA.ET. E COR</t>
  </si>
  <si>
    <t>ENTRETIEN ET REPARA</t>
  </si>
  <si>
    <t>ENTRETIENTS</t>
  </si>
  <si>
    <t>PRIMES D'ASSURANCE</t>
  </si>
  <si>
    <t>ASSURANCE AUTOS</t>
  </si>
  <si>
    <t>ASSURANCE INCENDIE</t>
  </si>
  <si>
    <t>ENLEVEMENT DE DECHETS</t>
  </si>
  <si>
    <t>REMUN.D'INTERM.HONOR</t>
  </si>
  <si>
    <t>PUBLICITE</t>
  </si>
  <si>
    <t>COTISATION &amp; DONS</t>
  </si>
  <si>
    <t>TRANSPORT SUR ACHAT</t>
  </si>
  <si>
    <t>TRANSPORT SUR VENTE</t>
  </si>
  <si>
    <t>FRAIS DE DEPLACEMENT</t>
  </si>
  <si>
    <t>VOYAGES ET MISSIONS</t>
  </si>
  <si>
    <t>RECEPTIONS</t>
  </si>
  <si>
    <t>ABONNEMENT ET DOCU.</t>
  </si>
  <si>
    <t>FRAIS POSTAUX &amp; TELEC</t>
  </si>
  <si>
    <t>AUT.FRAI.COM.PRES.SER</t>
  </si>
  <si>
    <t>JETONS DE PRESENCE</t>
  </si>
  <si>
    <t>T F P</t>
  </si>
  <si>
    <t>FOPROLOS</t>
  </si>
  <si>
    <t>AUT.IMP.TAX.VERS.ASSIM</t>
  </si>
  <si>
    <t>TAX/LE CHIF.D'AFF.N.REC</t>
  </si>
  <si>
    <t>DROITS D'EREG.DE TIM</t>
  </si>
  <si>
    <t>TAXE SUR LES VEHICULE</t>
  </si>
  <si>
    <t>AUTRES DROITS</t>
  </si>
  <si>
    <t>SOLDE AU 31/12/2022 Avant CONSOLIDATION</t>
  </si>
  <si>
    <t>VARIATION STOCK PDR</t>
  </si>
  <si>
    <t>PIECE DE RECHGE USINE</t>
  </si>
  <si>
    <t>FOURNI.DE CARBURANT</t>
  </si>
  <si>
    <t>FOURNITURE DE BUREAU</t>
  </si>
  <si>
    <t>ACHAT LUBRIFIANT</t>
  </si>
  <si>
    <t>ACHAT PRODUITS DE NETT.</t>
  </si>
  <si>
    <t>MATERIL DE SECURITE</t>
  </si>
  <si>
    <t>ETUDES ET EXPERTISES</t>
  </si>
  <si>
    <t>HONORAIRES CAC</t>
  </si>
  <si>
    <t>HONOR.AVOCATS+HUISSIERS</t>
  </si>
  <si>
    <t>FRAIS/VENTE EXPORT</t>
  </si>
  <si>
    <t>ETUD.RECH..DIV.SER.EX</t>
  </si>
  <si>
    <t>ADMI ADMINISTRATION</t>
  </si>
  <si>
    <t>PERSON.EXT.A L'ENTRE</t>
  </si>
  <si>
    <t xml:space="preserve">Maintenance </t>
  </si>
  <si>
    <t xml:space="preserve">Fuel </t>
  </si>
  <si>
    <t xml:space="preserve">fourniture </t>
  </si>
  <si>
    <t xml:space="preserve">Securité et environnement </t>
  </si>
  <si>
    <t>ENTRETIEN MAT. INCENDIE</t>
  </si>
  <si>
    <t xml:space="preserve">location </t>
  </si>
  <si>
    <t xml:space="preserve">Services extérieurs </t>
  </si>
  <si>
    <t xml:space="preserve">Honoraires </t>
  </si>
  <si>
    <t xml:space="preserve">Autres </t>
  </si>
  <si>
    <t xml:space="preserve">Marketting </t>
  </si>
  <si>
    <t xml:space="preserve">Transport sur vente </t>
  </si>
  <si>
    <t xml:space="preserve">Missions et réception </t>
  </si>
  <si>
    <t xml:space="preserve">frais bancaires </t>
  </si>
  <si>
    <t xml:space="preserve">Taxes </t>
  </si>
  <si>
    <t xml:space="preserve">Jetons de présence </t>
  </si>
  <si>
    <t xml:space="preserve">Affectation </t>
  </si>
  <si>
    <t xml:space="preserve">Variation </t>
  </si>
  <si>
    <t>var%</t>
  </si>
  <si>
    <t xml:space="preserve">Somme de Variation </t>
  </si>
  <si>
    <t>Somme de SOLDE AU 31/12/2022 Avant CONSOLIDATION</t>
  </si>
  <si>
    <t>Somme de SOLDE AU 31/12/2021 Avant CONSOLIDATION</t>
  </si>
  <si>
    <t xml:space="preserve">enregistrement crédit </t>
  </si>
  <si>
    <t xml:space="preserve">augmentation CA </t>
  </si>
  <si>
    <t xml:space="preserve">3% Benefice imposable au lieu de 1% </t>
  </si>
  <si>
    <t xml:space="preserve">augmentation de la masse salariale </t>
  </si>
  <si>
    <t xml:space="preserve">47 MATERIEL DE SECURITE </t>
  </si>
  <si>
    <t xml:space="preserve">40 ENLEVEMENT DE DECHETS </t>
  </si>
  <si>
    <t xml:space="preserve">compagne publicitaire SND </t>
  </si>
  <si>
    <t xml:space="preserve">Augmentation prix carburant </t>
  </si>
  <si>
    <t xml:space="preserve">Formation 13 </t>
  </si>
  <si>
    <t xml:space="preserve">Certification 50 </t>
  </si>
  <si>
    <t xml:space="preserve">K EUR </t>
  </si>
  <si>
    <t>INVENTORY 31/12/2021</t>
  </si>
  <si>
    <t>INVENTORY 31/12/2022</t>
  </si>
  <si>
    <t>consumed 2022</t>
  </si>
  <si>
    <t>Plomb doux</t>
  </si>
  <si>
    <t>Plomb calcium +</t>
  </si>
  <si>
    <t>Plomb calcium -</t>
  </si>
  <si>
    <t>Plomb calcium CONCENTREE</t>
  </si>
  <si>
    <t>taux d'écart</t>
  </si>
  <si>
    <t>Plomb 3% SNA 1</t>
  </si>
  <si>
    <t>Plomb 3% SNA 2</t>
  </si>
  <si>
    <t>cons° réelle</t>
  </si>
  <si>
    <t>SI-SF (WIP)</t>
  </si>
  <si>
    <t>cons° theorique</t>
  </si>
  <si>
    <t>CONS° theorique</t>
  </si>
  <si>
    <t>Q1</t>
  </si>
  <si>
    <t>Q2</t>
  </si>
  <si>
    <t>Q3</t>
  </si>
  <si>
    <t>Q4</t>
  </si>
  <si>
    <t xml:space="preserve">DIFF </t>
  </si>
  <si>
    <t>RATE TW</t>
  </si>
  <si>
    <t>SF WIP</t>
  </si>
  <si>
    <t>Ecart batterie  2022 (unité)</t>
  </si>
  <si>
    <t>SI WIP</t>
  </si>
  <si>
    <t>Ecart batterie  2021 (unité)</t>
  </si>
  <si>
    <t>Entrée 2022</t>
  </si>
  <si>
    <t>ARTICLE</t>
  </si>
  <si>
    <t>Qté achetée 2021</t>
  </si>
  <si>
    <t>VALEUR ACHAT2021</t>
  </si>
  <si>
    <t>PMP2021</t>
  </si>
  <si>
    <t>Qté achetée 2022</t>
  </si>
  <si>
    <t>VALEUR ACHAT 2022</t>
  </si>
  <si>
    <t>PMP 2022</t>
  </si>
  <si>
    <t xml:space="preserve">variation </t>
  </si>
  <si>
    <t>variation en %</t>
  </si>
  <si>
    <t xml:space="preserve">variation  en montant </t>
  </si>
  <si>
    <t>STK 31-12-20</t>
  </si>
  <si>
    <t>STK 31-12-21</t>
  </si>
  <si>
    <t>STK 31-12-22</t>
  </si>
  <si>
    <t>VALEUR 31-12-20</t>
  </si>
  <si>
    <t>VALEUR 31-12-21</t>
  </si>
  <si>
    <t>VALEUR 31-12-22</t>
  </si>
  <si>
    <t>Qté  cons° matiere 2021</t>
  </si>
  <si>
    <t>Qtécons° matiere 2022</t>
  </si>
  <si>
    <t>valeur Totale cons° matiere 2021</t>
  </si>
  <si>
    <t>valeur Totale cons° matiere 2022</t>
  </si>
  <si>
    <t>PMP CONS° 2021</t>
  </si>
  <si>
    <t>PMP CONS° 2022</t>
  </si>
  <si>
    <t>Variation PMP CONS°</t>
  </si>
  <si>
    <t>méthode 2</t>
  </si>
  <si>
    <t xml:space="preserve">ACHAT PLOMB D'OEUVRE </t>
  </si>
  <si>
    <t>Achat Dechets Batteries</t>
  </si>
  <si>
    <t>ACHAT ANTIMOINE</t>
  </si>
  <si>
    <t>ACHAT CALCIUM METAL</t>
  </si>
  <si>
    <t>ACHAT SEPARATEUR</t>
  </si>
  <si>
    <t>ACIDE SULFIRIQUE</t>
  </si>
  <si>
    <t>ACHAT SOUDE CAUSTIQUE</t>
  </si>
  <si>
    <t>ACHAT COKE DE PETROLE</t>
  </si>
  <si>
    <t xml:space="preserve">Taux d'écart </t>
  </si>
  <si>
    <t xml:space="preserve">Ecart en tonne </t>
  </si>
  <si>
    <t xml:space="preserve">Ecart K TND </t>
  </si>
  <si>
    <t>effet qté T</t>
  </si>
  <si>
    <t xml:space="preserve">effet prix KTND </t>
  </si>
  <si>
    <t xml:space="preserve">Price effect </t>
  </si>
  <si>
    <t xml:space="preserve">Quantity effect </t>
  </si>
  <si>
    <t xml:space="preserve">fethi </t>
  </si>
  <si>
    <t xml:space="preserve">sna </t>
  </si>
  <si>
    <t xml:space="preserve">snr </t>
  </si>
  <si>
    <t>icateurs</t>
  </si>
  <si>
    <t>Janvier</t>
  </si>
  <si>
    <t>Février</t>
  </si>
  <si>
    <t>Mars</t>
  </si>
  <si>
    <t>Avril</t>
  </si>
  <si>
    <t>Mai</t>
  </si>
  <si>
    <t>Juin</t>
  </si>
  <si>
    <t>Juillet</t>
  </si>
  <si>
    <t>Août</t>
  </si>
  <si>
    <t>Septembre</t>
  </si>
  <si>
    <t>Octobre</t>
  </si>
  <si>
    <t>Novembre</t>
  </si>
  <si>
    <t>Décembre</t>
  </si>
  <si>
    <t xml:space="preserve">* Increase of average of  TMM by 8% 
* Increase of the WC employed
* Increase of SNR interest on MT loan (40 K EUR) </t>
  </si>
  <si>
    <t>* Increase in the amortization cost related to new equipements</t>
  </si>
  <si>
    <t>AMT 2022</t>
  </si>
  <si>
    <t>VALEUR BRUT MATERIEL</t>
  </si>
  <si>
    <t>AMORTISSEMENT 2022</t>
  </si>
  <si>
    <t xml:space="preserve">ADMINISTRATION </t>
  </si>
  <si>
    <t>PRODUCTION</t>
  </si>
  <si>
    <t xml:space="preserve">Increase in the sale price with less discount </t>
  </si>
  <si>
    <t>* Recognition of the provision related to garanties for the first time in 2021 (180 KEUR)</t>
  </si>
  <si>
    <t xml:space="preserve">Ramzi </t>
  </si>
  <si>
    <t xml:space="preserve">* 6% increase of total revenue compensating a negative variance on the on the COGS </t>
  </si>
  <si>
    <t>* 90K EUR 33 K EUR SNA and 57 K EUR SND</t>
  </si>
  <si>
    <t>*See the labour stratification for 240 K EUR 
*See the semi OPEX stratification items</t>
  </si>
  <si>
    <t xml:space="preserve">* Increase in the amortization cost related to new equipements (70 KEUR is related to new equipments) </t>
  </si>
  <si>
    <t xml:space="preserve">* Positive variance coming from decrease in the MT loan </t>
  </si>
  <si>
    <t xml:space="preserve">* Increase of  an average of 7% in cost of material (intercompany transfert price) 
* Increase of an average of 9% of net sale price to third parties </t>
  </si>
  <si>
    <t>* Increase use of the escompte facility correlate with the account receivables 
* Increase of TMM between 2021 and 2022</t>
  </si>
  <si>
    <t>Sales volume (Batteries)</t>
  </si>
  <si>
    <t xml:space="preserve">A corriger export </t>
  </si>
  <si>
    <t xml:space="preserve">BP numbers </t>
  </si>
  <si>
    <t>* Increase in the cost of consumed raw material 1,5 M EUR negatively impacting the Gross contribution by 12,5% (20% driven by price variance and 80% by volume variance)
The material cost increase hit is partially mitigated by the following price increasing :
(Increase in the export selling price by 10% and local sale price 14% from october 22 and 3% from march 22 and 3% from sep 21)</t>
  </si>
  <si>
    <t xml:space="preserve"> Main variance areas : 
SNA 233 KEUR 
SND 215 KEUR
SNR 51 KEUR </t>
  </si>
  <si>
    <t xml:space="preserve">- Main Increase of: 
* 177 K EUR SNA 
* 95 K EUR SND 
</t>
  </si>
  <si>
    <t xml:space="preserve">Net effect: 
saving from MT loan 42 KEUR 
 Increase use of the escompte facility correlate with the account receivables -43 KEUR 
New SNR contract MT loan with 41 K EUR interest 
</t>
  </si>
  <si>
    <t xml:space="preserve">Q2 Vs Dec 21 </t>
  </si>
  <si>
    <t xml:space="preserve">Q3 Vs Dec 21 </t>
  </si>
  <si>
    <t xml:space="preserve">Q4 Vs Dec 21 </t>
  </si>
  <si>
    <t xml:space="preserve">Tin purshased </t>
  </si>
  <si>
    <t xml:space="preserve">for ben shihoon </t>
  </si>
  <si>
    <t xml:space="preserve">ben shihoon/lybia  </t>
  </si>
  <si>
    <t xml:space="preserve">linea production </t>
  </si>
  <si>
    <t>Balance at 30-Sep-22</t>
  </si>
  <si>
    <t>Q3 22</t>
  </si>
  <si>
    <t>Net debt KEUR</t>
  </si>
  <si>
    <t xml:space="preserve">Var EUR </t>
  </si>
  <si>
    <t xml:space="preserve">Price </t>
  </si>
  <si>
    <t xml:space="preserve">Material COGS </t>
  </si>
  <si>
    <t xml:space="preserve">GAP YTD EBIDTA </t>
  </si>
  <si>
    <t xml:space="preserve">GAP to forecast  EBIDTA </t>
  </si>
  <si>
    <t xml:space="preserve">Level of 2021 </t>
  </si>
  <si>
    <t xml:space="preserve">Level of forecast </t>
  </si>
  <si>
    <t xml:space="preserve">* Increase in the cost of consumed raw material 1,5 M EUR negatively impacting the Gross contribution by 12,5% (20% driven by price variance and 80% by volume variance)
* The material cost increase hit is partially mitigated by the following price increasing (Increase in the export selling price by 10% and local sale price 14% from october 22 and 3% from march 22 and 3% from sep 21)
</t>
  </si>
  <si>
    <t xml:space="preserve">* See the labour stratification </t>
  </si>
  <si>
    <r>
      <t xml:space="preserve">* Increase of the following costs: 
31 K EUR of marketting costs (compaign)
24 K EUR of reparation costs (The aging of cars)
</t>
    </r>
    <r>
      <rPr>
        <b/>
        <sz val="11"/>
        <color rgb="FFFF0000"/>
        <rFont val="Calibri"/>
        <family val="2"/>
        <scheme val="minor"/>
      </rPr>
      <t>18 K EUR of rent costs</t>
    </r>
    <r>
      <rPr>
        <sz val="11"/>
        <color rgb="FFFF0000"/>
        <rFont val="Calibri"/>
        <family val="2"/>
        <scheme val="minor"/>
      </rPr>
      <t xml:space="preserve"> (Increase of rent of megrine agency of 14KEUR and 5% annual increase)
9 K EUR of the fuel (Increase in the price of fuel)
5 K EUR of tax revenue (Increase of revenue)
</t>
    </r>
  </si>
  <si>
    <t>Evolution Fev/Unfev</t>
  </si>
  <si>
    <t>* first time booking provision of 180 KEUR on 2021</t>
  </si>
  <si>
    <r>
      <rPr>
        <b/>
        <sz val="11"/>
        <color theme="9" tint="-0.499984740745262"/>
        <rFont val="Calibri"/>
        <family val="2"/>
        <scheme val="minor"/>
      </rPr>
      <t xml:space="preserve">The increse of the sales of 1,6 M is due to the offset of :  </t>
    </r>
    <r>
      <rPr>
        <sz val="11"/>
        <color theme="9" tint="-0.499984740745262"/>
        <rFont val="Calibri"/>
        <family val="2"/>
        <scheme val="minor"/>
      </rPr>
      <t xml:space="preserve">
</t>
    </r>
    <r>
      <rPr>
        <b/>
        <sz val="11"/>
        <color theme="9" tint="-0.499984740745262"/>
        <rFont val="Calibri"/>
        <family val="2"/>
        <scheme val="minor"/>
      </rPr>
      <t xml:space="preserve">1) Increase of local revenue of 1,9M Eur 19% : </t>
    </r>
    <r>
      <rPr>
        <sz val="11"/>
        <color theme="9" tint="-0.499984740745262"/>
        <rFont val="Calibri"/>
        <family val="2"/>
        <scheme val="minor"/>
      </rPr>
      <t xml:space="preserve">
  +1,1M reflecting the increase of the price (+8%)
  +0,8M refleting the increse of the volume ( 10%)
</t>
    </r>
    <r>
      <rPr>
        <b/>
        <sz val="11"/>
        <color theme="9" tint="-0.499984740745262"/>
        <rFont val="Calibri"/>
        <family val="2"/>
        <scheme val="minor"/>
      </rPr>
      <t>2) Decrease of export volume of -0,4 M Eur (-17%) :</t>
    </r>
    <r>
      <rPr>
        <sz val="11"/>
        <color theme="9" tint="-0.499984740745262"/>
        <rFont val="Calibri"/>
        <family val="2"/>
        <scheme val="minor"/>
      </rPr>
      <t xml:space="preserve"> 
  +0,7M reflecting the increase of the price (+10% LME ) 
  -1,9M reflecting the decrese of the volume (-32%)</t>
    </r>
  </si>
  <si>
    <t>Q1 22</t>
  </si>
  <si>
    <t>Q1 23</t>
  </si>
  <si>
    <t>BP Q1 23</t>
  </si>
  <si>
    <t>Gap to BP Q1 2023</t>
  </si>
  <si>
    <t>Progress to Actual Q1 2023</t>
  </si>
  <si>
    <t>Q1'23</t>
  </si>
  <si>
    <t>Q1'23 Vs Q1'22</t>
  </si>
  <si>
    <t xml:space="preserve">Taux de cloture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</si>
</sst>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3">
    <numFmt numFmtId="43" formatCode="_-* #,##0.00_-;\-* #,##0.00_-;_-* &quot;-&quot;??_-;_-@_-"/>
    <numFmt numFmtId="164" formatCode="&quot;€&quot;\ #,##0;\-&quot;€&quot;\ #,##0;&quot;€&quot;\ #,##0"/>
    <numFmt numFmtId="165" formatCode="0.00%;\-0.00%;0.00%"/>
    <numFmt numFmtId="166" formatCode="0.0%"/>
    <numFmt numFmtId="167" formatCode="0.0"/>
    <numFmt numFmtId="168" formatCode="&quot;€&quot;\ #,##0.00;\-&quot;€&quot;\ #,##0.00;&quot;€&quot;\ #,##0.00"/>
    <numFmt numFmtId="169" formatCode="_(* #,##0.00_);_(* \(#,##0.00\);_(* &quot;-&quot;??_);_(@_)"/>
    <numFmt numFmtId="170" formatCode="_(* #,##0_);_(* \(#,##0\);_(* &quot;-&quot;??_);_(@_)"/>
    <numFmt numFmtId="171" formatCode="&quot; &quot;* #,##0.00&quot; &quot;;&quot;-&quot;* #,##0.00&quot; &quot;;&quot; &quot;* &quot;-&quot;#&quot; &quot;;&quot; &quot;@&quot; &quot;"/>
    <numFmt numFmtId="172" formatCode="&quot; &quot;* #,##0&quot; &quot;;&quot;-&quot;* #,##0&quot; &quot;;&quot; &quot;* &quot;-&quot;#&quot; &quot;;&quot; &quot;@&quot; &quot;"/>
    <numFmt numFmtId="173" formatCode="_-* #,##0_-;\-* #,##0_-;_-* &quot;-&quot;??_-;_-@_-"/>
    <numFmt numFmtId="174" formatCode="#,##0&quot; &quot;[$EUR-40C]"/>
    <numFmt numFmtId="175" formatCode="[$-C09]dd\-mmm\-yy;@"/>
    <numFmt numFmtId="176" formatCode="_-* #,##0.00\ _€_-;\-* #,##0.00\ _€_-;_-* &quot;-&quot;??\ _€_-;_-@_-"/>
    <numFmt numFmtId="177" formatCode="#,##0.000_ ;[Red]\-#,##0.000\ "/>
    <numFmt numFmtId="178" formatCode="_-* #,##0\ _d_t_-;\-* #,##0\ _d_t_-;_-* &quot;-&quot;??\ _d_t_-;_-@_-"/>
    <numFmt numFmtId="179" formatCode="_-* #,##0.000_-;\-* #,##0.000_-;_-* &quot;-&quot;??_-;_-@_-"/>
    <numFmt numFmtId="180" formatCode="&quot; &quot;#,##0&quot; &quot;;&quot;-&quot;#,##0&quot; &quot;;&quot; &quot;&quot;-&quot;#&quot; &quot;;&quot; &quot;@&quot; &quot;"/>
    <numFmt numFmtId="181" formatCode="_-* #,##0.00\ _л_в_-;\-* #,##0.00\ _л_в_-;_-* &quot;-&quot;??\ _л_в_-;_-@_-"/>
    <numFmt numFmtId="182" formatCode="_-* #,##0\ _л_в_-;\-* #,##0\ _л_в_-;_-* &quot;-&quot;??\ _л_в_-;_-@_-"/>
    <numFmt numFmtId="183" formatCode="_-* #,##0.000\ _л_в_-;\-* #,##0.000\ _л_в_-;_-* &quot;-&quot;??\ _л_в_-;_-@_-"/>
    <numFmt numFmtId="184" formatCode="0.000000000000000%"/>
    <numFmt numFmtId="185" formatCode="_-* #,##0.00\ _d_t_-;\-* #,##0.00\ _d_t_-;_-* &quot;-&quot;??\ _d_t_-;_-@_-"/>
    <numFmt numFmtId="186" formatCode="#,##0.0000"/>
    <numFmt numFmtId="187" formatCode="#,##0.00_ ;\-#,##0.00\ "/>
    <numFmt numFmtId="188" formatCode="_-* #,##0\ [$€-1]_-;\-* #,##0\ [$€-1]_-;_-* &quot;-&quot;??\ [$€-1]_-;_-@_-"/>
    <numFmt numFmtId="189" formatCode="_-* #,##0.0_-;\-* #,##0.0_-;_-* &quot;-&quot;??_-;_-@_-"/>
    <numFmt numFmtId="190" formatCode="_-* #,##0.000\ _€_-;\-* #,##0.000\ _€_-;_-* &quot;-&quot;???\ _€_-;_-@_-"/>
    <numFmt numFmtId="191" formatCode="0.000"/>
    <numFmt numFmtId="192" formatCode="#,##0_ ;[Red]\-#,##0\ "/>
    <numFmt numFmtId="193" formatCode="#,##0.000"/>
    <numFmt numFmtId="194" formatCode="0.00000%"/>
    <numFmt numFmtId="195" formatCode="0.0000"/>
  </numFmts>
  <fonts count="168">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2"/>
      <color theme="1"/>
      <name val="Calibri"/>
      <family val="2"/>
      <scheme val="minor"/>
    </font>
    <font>
      <sz val="12"/>
      <color rgb="FFC00000"/>
      <name val="Calibri"/>
      <family val="2"/>
      <scheme val="minor"/>
    </font>
    <font>
      <b/>
      <sz val="14"/>
      <color theme="1"/>
      <name val="Calibri"/>
      <family val="2"/>
      <scheme val="minor"/>
    </font>
    <font>
      <b/>
      <sz val="12"/>
      <color rgb="FFC00000"/>
      <name val="Calibri"/>
      <family val="2"/>
      <scheme val="minor"/>
    </font>
    <font>
      <sz val="12"/>
      <color rgb="FFC00000"/>
      <name val="Calibri (Body)"/>
    </font>
    <font>
      <sz val="12"/>
      <color theme="1"/>
      <name val="Calibri"/>
      <family val="2"/>
      <scheme val="minor"/>
    </font>
    <font>
      <b/>
      <sz val="15"/>
      <color theme="3"/>
      <name val="Calibri"/>
      <family val="2"/>
      <scheme val="minor"/>
    </font>
    <font>
      <b/>
      <sz val="11"/>
      <color theme="3"/>
      <name val="Calibri"/>
      <family val="2"/>
      <scheme val="minor"/>
    </font>
    <font>
      <sz val="11"/>
      <color rgb="FF9C0006"/>
      <name val="Calibri"/>
      <family val="2"/>
      <scheme val="minor"/>
    </font>
    <font>
      <b/>
      <sz val="11"/>
      <color theme="1"/>
      <name val="Calibri"/>
      <family val="2"/>
      <scheme val="minor"/>
    </font>
    <font>
      <b/>
      <sz val="18"/>
      <color theme="3"/>
      <name val="Calibri"/>
      <family val="2"/>
      <scheme val="minor"/>
    </font>
    <font>
      <b/>
      <sz val="14"/>
      <color theme="4" tint="-0.499984740745262"/>
      <name val="Calibri"/>
      <family val="2"/>
      <scheme val="minor"/>
    </font>
    <font>
      <sz val="15"/>
      <color theme="3"/>
      <name val="Calibri"/>
      <family val="2"/>
      <scheme val="minor"/>
    </font>
    <font>
      <sz val="14"/>
      <color theme="3"/>
      <name val="Calibri"/>
      <family val="2"/>
      <scheme val="minor"/>
    </font>
    <font>
      <sz val="13"/>
      <color theme="3"/>
      <name val="Calibri"/>
      <family val="2"/>
      <scheme val="minor"/>
    </font>
    <font>
      <b/>
      <sz val="14"/>
      <color theme="3"/>
      <name val="Calibri"/>
      <family val="2"/>
      <scheme val="minor"/>
    </font>
    <font>
      <b/>
      <sz val="12"/>
      <color theme="3"/>
      <name val="Calibri"/>
      <family val="2"/>
      <scheme val="minor"/>
    </font>
    <font>
      <b/>
      <sz val="12"/>
      <color theme="0"/>
      <name val="Calibri"/>
      <family val="2"/>
      <scheme val="minor"/>
    </font>
    <font>
      <b/>
      <sz val="18"/>
      <color theme="1"/>
      <name val="Calibri"/>
      <family val="2"/>
      <scheme val="minor"/>
    </font>
    <font>
      <sz val="14"/>
      <color theme="1"/>
      <name val="Calibri"/>
      <family val="2"/>
      <scheme val="minor"/>
    </font>
    <font>
      <b/>
      <sz val="11"/>
      <color theme="1"/>
      <name val="Calibri"/>
      <family val="2"/>
      <charset val="204"/>
      <scheme val="minor"/>
    </font>
    <font>
      <sz val="11"/>
      <color rgb="FF9C5700"/>
      <name val="Calibri"/>
      <family val="2"/>
      <charset val="204"/>
      <scheme val="minor"/>
    </font>
    <font>
      <sz val="10"/>
      <color theme="1"/>
      <name val="Calibri"/>
      <family val="2"/>
      <scheme val="minor"/>
    </font>
    <font>
      <b/>
      <sz val="10"/>
      <color theme="1"/>
      <name val="Calibri"/>
      <family val="2"/>
      <charset val="204"/>
      <scheme val="minor"/>
    </font>
    <font>
      <b/>
      <sz val="10"/>
      <color theme="1"/>
      <name val="Calibri"/>
      <family val="2"/>
      <scheme val="minor"/>
    </font>
    <font>
      <b/>
      <u/>
      <sz val="14"/>
      <color theme="1"/>
      <name val="Calibri"/>
      <family val="2"/>
      <charset val="204"/>
      <scheme val="minor"/>
    </font>
    <font>
      <sz val="11"/>
      <color rgb="FF000000"/>
      <name val="Calibri"/>
      <family val="2"/>
      <charset val="204"/>
    </font>
    <font>
      <sz val="11"/>
      <name val="Calibri"/>
      <family val="2"/>
      <scheme val="minor"/>
    </font>
    <font>
      <sz val="12"/>
      <color theme="1"/>
      <name val="Calibri"/>
      <family val="2"/>
      <charset val="204"/>
      <scheme val="minor"/>
    </font>
    <font>
      <b/>
      <i/>
      <sz val="10"/>
      <color theme="1"/>
      <name val="Calibri"/>
      <family val="2"/>
      <charset val="204"/>
      <scheme val="minor"/>
    </font>
    <font>
      <sz val="11"/>
      <color theme="1"/>
      <name val="Calibri"/>
      <family val="2"/>
      <charset val="204"/>
    </font>
    <font>
      <sz val="12"/>
      <name val="Times New Roman"/>
      <family val="1"/>
    </font>
    <font>
      <sz val="10"/>
      <name val="Times New Roman"/>
      <family val="1"/>
    </font>
    <font>
      <b/>
      <sz val="9"/>
      <color indexed="81"/>
      <name val="Tahoma"/>
      <family val="2"/>
      <charset val="204"/>
    </font>
    <font>
      <sz val="9"/>
      <color indexed="81"/>
      <name val="Tahoma"/>
      <family val="2"/>
      <charset val="204"/>
    </font>
    <font>
      <b/>
      <sz val="8"/>
      <name val="Times New Roman"/>
      <family val="1"/>
    </font>
    <font>
      <sz val="8"/>
      <color theme="1"/>
      <name val="Calibri"/>
      <family val="2"/>
      <scheme val="minor"/>
    </font>
    <font>
      <sz val="8"/>
      <name val="Times New Roman"/>
      <family val="1"/>
    </font>
    <font>
      <i/>
      <sz val="8"/>
      <name val="Times New Roman"/>
      <family val="1"/>
    </font>
    <font>
      <b/>
      <sz val="8"/>
      <color theme="1"/>
      <name val="Calibri"/>
      <family val="2"/>
      <charset val="204"/>
      <scheme val="minor"/>
    </font>
    <font>
      <b/>
      <sz val="8"/>
      <color rgb="FFFF0000"/>
      <name val="Calibri"/>
      <family val="2"/>
      <charset val="204"/>
      <scheme val="minor"/>
    </font>
    <font>
      <b/>
      <sz val="9"/>
      <color theme="1"/>
      <name val="Calibri"/>
      <family val="2"/>
      <charset val="204"/>
      <scheme val="minor"/>
    </font>
    <font>
      <b/>
      <sz val="18"/>
      <color rgb="FFFF0000"/>
      <name val="Calibri"/>
      <family val="2"/>
      <charset val="204"/>
      <scheme val="minor"/>
    </font>
    <font>
      <b/>
      <sz val="11"/>
      <color rgb="FF000000"/>
      <name val="Calibri"/>
      <family val="2"/>
      <scheme val="minor"/>
    </font>
    <font>
      <sz val="11"/>
      <color rgb="FF000000"/>
      <name val="Calibri"/>
      <family val="2"/>
      <scheme val="minor"/>
    </font>
    <font>
      <sz val="11"/>
      <color rgb="FF000000"/>
      <name val="Calibri"/>
      <family val="2"/>
    </font>
    <font>
      <sz val="12"/>
      <color rgb="FF000000"/>
      <name val="Calibri"/>
      <family val="2"/>
    </font>
    <font>
      <b/>
      <sz val="11"/>
      <color rgb="FFFF0000"/>
      <name val="Calibri"/>
      <family val="2"/>
    </font>
    <font>
      <b/>
      <sz val="11"/>
      <color rgb="FF000000"/>
      <name val="Calibri"/>
      <family val="2"/>
    </font>
    <font>
      <b/>
      <sz val="11"/>
      <name val="Calibri"/>
      <family val="2"/>
    </font>
    <font>
      <i/>
      <sz val="11"/>
      <color rgb="FF000000"/>
      <name val="Calibri"/>
      <family val="2"/>
    </font>
    <font>
      <b/>
      <u/>
      <sz val="11"/>
      <color rgb="FF000000"/>
      <name val="Calibri"/>
      <family val="2"/>
    </font>
    <font>
      <b/>
      <i/>
      <sz val="11"/>
      <color rgb="FF000000"/>
      <name val="Calibri"/>
      <family val="2"/>
      <charset val="204"/>
    </font>
    <font>
      <i/>
      <sz val="11"/>
      <color rgb="FF000000"/>
      <name val="Calibri"/>
      <family val="2"/>
      <charset val="204"/>
    </font>
    <font>
      <b/>
      <sz val="12"/>
      <color rgb="FF000000"/>
      <name val="Calibri"/>
      <family val="2"/>
    </font>
    <font>
      <b/>
      <sz val="11"/>
      <color rgb="FF000000"/>
      <name val="Calibri"/>
      <family val="2"/>
      <charset val="204"/>
    </font>
    <font>
      <b/>
      <sz val="16"/>
      <color rgb="FFFF0000"/>
      <name val="Calibri"/>
      <family val="2"/>
    </font>
    <font>
      <sz val="10"/>
      <name val="Timok"/>
      <charset val="204"/>
    </font>
    <font>
      <sz val="10"/>
      <name val="Times New Roman"/>
      <family val="1"/>
      <charset val="204"/>
    </font>
    <font>
      <b/>
      <u/>
      <sz val="10"/>
      <color theme="1"/>
      <name val="Calibri"/>
      <family val="2"/>
      <charset val="204"/>
      <scheme val="minor"/>
    </font>
    <font>
      <b/>
      <sz val="11"/>
      <color rgb="FF000000"/>
      <name val="Calibri"/>
      <family val="2"/>
      <charset val="204"/>
      <scheme val="minor"/>
    </font>
    <font>
      <sz val="10"/>
      <color rgb="FFFF0000"/>
      <name val="Calibri"/>
      <family val="2"/>
      <scheme val="minor"/>
    </font>
    <font>
      <b/>
      <i/>
      <sz val="14"/>
      <color theme="1"/>
      <name val="Calibri"/>
      <family val="2"/>
      <charset val="204"/>
      <scheme val="minor"/>
    </font>
    <font>
      <sz val="10"/>
      <color theme="1"/>
      <name val="Arial"/>
      <family val="2"/>
    </font>
    <font>
      <b/>
      <i/>
      <sz val="14"/>
      <color indexed="8"/>
      <name val="Arial"/>
      <family val="2"/>
      <charset val="204"/>
    </font>
    <font>
      <b/>
      <sz val="10"/>
      <color indexed="8"/>
      <name val="Arial"/>
      <family val="2"/>
      <charset val="204"/>
    </font>
    <font>
      <b/>
      <sz val="10"/>
      <color theme="1"/>
      <name val="Arial"/>
      <family val="2"/>
      <charset val="204"/>
    </font>
    <font>
      <b/>
      <sz val="10"/>
      <color indexed="9"/>
      <name val="Arial"/>
      <family val="2"/>
      <charset val="204"/>
    </font>
    <font>
      <sz val="10"/>
      <color indexed="8"/>
      <name val="Arial"/>
      <family val="2"/>
    </font>
    <font>
      <sz val="10"/>
      <name val="Arial"/>
      <family val="2"/>
      <charset val="204"/>
    </font>
    <font>
      <sz val="10"/>
      <name val="Arial"/>
      <family val="2"/>
    </font>
    <font>
      <sz val="8"/>
      <color theme="1"/>
      <name val="Arial"/>
      <family val="2"/>
    </font>
    <font>
      <b/>
      <sz val="16"/>
      <color theme="1"/>
      <name val="Arial"/>
      <family val="2"/>
    </font>
    <font>
      <b/>
      <sz val="10"/>
      <color theme="1"/>
      <name val="Arial"/>
      <family val="2"/>
    </font>
    <font>
      <sz val="10"/>
      <color rgb="FFFF0000"/>
      <name val="Arial"/>
      <family val="2"/>
    </font>
    <font>
      <sz val="10"/>
      <color rgb="FF00B050"/>
      <name val="Arial"/>
      <family val="2"/>
    </font>
    <font>
      <b/>
      <u/>
      <sz val="10"/>
      <color theme="1"/>
      <name val="Arial"/>
      <family val="2"/>
      <charset val="204"/>
    </font>
    <font>
      <sz val="10"/>
      <name val="Trebuchet MS"/>
      <family val="2"/>
      <charset val="204"/>
    </font>
    <font>
      <b/>
      <i/>
      <u/>
      <sz val="10"/>
      <name val="Times New Roman"/>
      <family val="1"/>
    </font>
    <font>
      <sz val="10"/>
      <name val="Trebuchet MS"/>
      <family val="2"/>
    </font>
    <font>
      <u/>
      <sz val="10"/>
      <color theme="10"/>
      <name val="Arial"/>
      <family val="2"/>
    </font>
    <font>
      <i/>
      <sz val="11"/>
      <color rgb="FF7F7F7F"/>
      <name val="Calibri"/>
      <family val="2"/>
      <scheme val="minor"/>
    </font>
    <font>
      <sz val="11"/>
      <color theme="1"/>
      <name val="Calibri"/>
      <family val="2"/>
      <charset val="204"/>
      <scheme val="minor"/>
    </font>
    <font>
      <sz val="11"/>
      <color rgb="FFC00000"/>
      <name val="Calibri"/>
      <family val="2"/>
      <charset val="204"/>
      <scheme val="minor"/>
    </font>
    <font>
      <b/>
      <sz val="11"/>
      <color theme="3"/>
      <name val="Calibri"/>
      <family val="2"/>
      <charset val="204"/>
      <scheme val="minor"/>
    </font>
    <font>
      <b/>
      <u/>
      <sz val="11"/>
      <color theme="1"/>
      <name val="Calibri"/>
      <family val="2"/>
      <charset val="204"/>
      <scheme val="minor"/>
    </font>
    <font>
      <i/>
      <sz val="11"/>
      <color rgb="FF7F7F7F"/>
      <name val="Calibri"/>
      <family val="2"/>
      <charset val="204"/>
      <scheme val="minor"/>
    </font>
    <font>
      <b/>
      <sz val="12"/>
      <color theme="1"/>
      <name val="Calibri"/>
      <family val="2"/>
      <charset val="204"/>
      <scheme val="minor"/>
    </font>
    <font>
      <b/>
      <sz val="12"/>
      <color rgb="FFFF0000"/>
      <name val="Calibri"/>
      <family val="2"/>
      <charset val="204"/>
      <scheme val="minor"/>
    </font>
    <font>
      <b/>
      <i/>
      <u/>
      <sz val="11"/>
      <name val="Calibri"/>
      <family val="2"/>
      <charset val="204"/>
      <scheme val="minor"/>
    </font>
    <font>
      <sz val="11"/>
      <name val="Calibri"/>
      <family val="2"/>
      <charset val="204"/>
      <scheme val="minor"/>
    </font>
    <font>
      <b/>
      <i/>
      <sz val="11"/>
      <name val="Calibri"/>
      <family val="2"/>
      <charset val="204"/>
      <scheme val="minor"/>
    </font>
    <font>
      <i/>
      <sz val="11"/>
      <name val="Calibri"/>
      <family val="2"/>
      <charset val="204"/>
      <scheme val="minor"/>
    </font>
    <font>
      <b/>
      <sz val="11"/>
      <name val="Calibri"/>
      <family val="2"/>
      <charset val="204"/>
      <scheme val="minor"/>
    </font>
    <font>
      <sz val="11"/>
      <color theme="9" tint="-0.249977111117893"/>
      <name val="Calibri"/>
      <family val="2"/>
      <charset val="204"/>
      <scheme val="minor"/>
    </font>
    <font>
      <sz val="11"/>
      <color theme="0"/>
      <name val="Calibri"/>
      <family val="2"/>
      <charset val="204"/>
      <scheme val="minor"/>
    </font>
    <font>
      <b/>
      <sz val="11"/>
      <name val="Calibri"/>
      <family val="2"/>
      <scheme val="minor"/>
    </font>
    <font>
      <b/>
      <sz val="10"/>
      <color theme="0"/>
      <name val="Calibri"/>
      <family val="2"/>
      <scheme val="minor"/>
    </font>
    <font>
      <sz val="10"/>
      <color theme="0"/>
      <name val="Calibri"/>
      <family val="2"/>
      <scheme val="minor"/>
    </font>
    <font>
      <sz val="11"/>
      <color rgb="FF00B050"/>
      <name val="Calibri"/>
      <family val="2"/>
      <charset val="204"/>
      <scheme val="minor"/>
    </font>
    <font>
      <sz val="10"/>
      <name val="Calibri"/>
      <family val="2"/>
      <charset val="204"/>
      <scheme val="minor"/>
    </font>
    <font>
      <sz val="10"/>
      <color rgb="FFC00000"/>
      <name val="Calibri"/>
      <family val="2"/>
      <charset val="204"/>
      <scheme val="minor"/>
    </font>
    <font>
      <b/>
      <u/>
      <sz val="12"/>
      <name val="Calibri"/>
      <family val="2"/>
      <scheme val="minor"/>
    </font>
    <font>
      <b/>
      <i/>
      <u/>
      <sz val="10"/>
      <name val="Calibri"/>
      <family val="2"/>
      <charset val="204"/>
      <scheme val="minor"/>
    </font>
    <font>
      <b/>
      <i/>
      <sz val="10"/>
      <name val="Calibri"/>
      <family val="2"/>
      <charset val="204"/>
      <scheme val="minor"/>
    </font>
    <font>
      <i/>
      <sz val="10"/>
      <name val="Calibri"/>
      <family val="2"/>
      <charset val="204"/>
      <scheme val="minor"/>
    </font>
    <font>
      <sz val="10"/>
      <color rgb="FF00B050"/>
      <name val="Calibri"/>
      <family val="2"/>
      <scheme val="minor"/>
    </font>
    <font>
      <b/>
      <sz val="10"/>
      <color rgb="FF00B050"/>
      <name val="Calibri"/>
      <family val="2"/>
      <scheme val="minor"/>
    </font>
    <font>
      <b/>
      <sz val="11"/>
      <color rgb="FFC00000"/>
      <name val="Calibri"/>
      <family val="2"/>
      <scheme val="minor"/>
    </font>
    <font>
      <sz val="11"/>
      <color rgb="FFC00000"/>
      <name val="Calibri"/>
      <family val="2"/>
      <scheme val="minor"/>
    </font>
    <font>
      <b/>
      <u/>
      <sz val="10"/>
      <color theme="1"/>
      <name val="Calibri"/>
      <family val="2"/>
      <scheme val="minor"/>
    </font>
    <font>
      <b/>
      <sz val="10"/>
      <name val="Arial"/>
      <family val="2"/>
    </font>
    <font>
      <sz val="11"/>
      <color rgb="FF006100"/>
      <name val="Calibri"/>
      <family val="2"/>
      <charset val="204"/>
      <scheme val="minor"/>
    </font>
    <font>
      <b/>
      <i/>
      <sz val="9"/>
      <name val="Arial"/>
      <family val="2"/>
    </font>
    <font>
      <b/>
      <sz val="11"/>
      <color rgb="FFFFFFFF"/>
      <name val="Calibri"/>
      <family val="2"/>
      <scheme val="minor"/>
    </font>
    <font>
      <b/>
      <sz val="16"/>
      <color rgb="FFFFFF00"/>
      <name val="Calibri"/>
      <family val="2"/>
      <charset val="204"/>
      <scheme val="minor"/>
    </font>
    <font>
      <b/>
      <sz val="12"/>
      <color rgb="FFFFFFFF"/>
      <name val="Calibri"/>
      <family val="2"/>
      <charset val="204"/>
      <scheme val="minor"/>
    </font>
    <font>
      <b/>
      <sz val="10"/>
      <color rgb="FFFFFFFF"/>
      <name val="Arial"/>
      <family val="2"/>
    </font>
    <font>
      <b/>
      <sz val="11"/>
      <name val="Arial"/>
      <family val="2"/>
    </font>
    <font>
      <b/>
      <sz val="11"/>
      <color rgb="FFFFFFFF"/>
      <name val="Arial"/>
      <family val="2"/>
    </font>
    <font>
      <sz val="10"/>
      <color rgb="FF0000FF"/>
      <name val="Arial"/>
      <family val="2"/>
    </font>
    <font>
      <b/>
      <sz val="10"/>
      <color rgb="FF0000FF"/>
      <name val="Arial"/>
      <family val="2"/>
    </font>
    <font>
      <b/>
      <sz val="12"/>
      <color rgb="FFFFFFFF"/>
      <name val="Arial"/>
      <family val="2"/>
    </font>
    <font>
      <sz val="11"/>
      <name val="Arial"/>
      <family val="2"/>
    </font>
    <font>
      <sz val="10"/>
      <name val="Calibri"/>
      <family val="2"/>
      <scheme val="minor"/>
    </font>
    <font>
      <b/>
      <i/>
      <sz val="10"/>
      <color theme="1"/>
      <name val="Calibri"/>
      <family val="2"/>
      <scheme val="minor"/>
    </font>
    <font>
      <b/>
      <sz val="10"/>
      <color rgb="FFFF0000"/>
      <name val="Calibri"/>
      <family val="2"/>
      <charset val="204"/>
      <scheme val="minor"/>
    </font>
    <font>
      <sz val="12"/>
      <color rgb="FFFF0000"/>
      <name val="Calibri"/>
      <family val="2"/>
    </font>
    <font>
      <b/>
      <sz val="12"/>
      <color rgb="FFFF0000"/>
      <name val="Calibri"/>
      <family val="2"/>
    </font>
    <font>
      <b/>
      <sz val="9"/>
      <color rgb="FF000000"/>
      <name val="Tahoma"/>
      <family val="2"/>
    </font>
    <font>
      <sz val="9"/>
      <color rgb="FF000000"/>
      <name val="Tahoma"/>
      <family val="2"/>
    </font>
    <font>
      <i/>
      <sz val="10"/>
      <name val="Times New Roman"/>
      <family val="1"/>
      <charset val="204"/>
    </font>
    <font>
      <sz val="10"/>
      <name val="Times New Roman Cyr"/>
      <family val="1"/>
      <charset val="204"/>
    </font>
    <font>
      <i/>
      <sz val="10"/>
      <name val="Times New Roman Cyr"/>
      <family val="1"/>
      <charset val="204"/>
    </font>
    <font>
      <b/>
      <sz val="10"/>
      <name val="Times New Roman"/>
      <family val="1"/>
      <charset val="204"/>
    </font>
    <font>
      <b/>
      <sz val="10"/>
      <name val="Calibri"/>
      <family val="2"/>
      <charset val="204"/>
      <scheme val="minor"/>
    </font>
    <font>
      <i/>
      <sz val="11"/>
      <name val="Calibri"/>
      <family val="2"/>
      <scheme val="minor"/>
    </font>
    <font>
      <sz val="11"/>
      <color rgb="FFFF0000"/>
      <name val="Calibri"/>
      <family val="2"/>
      <charset val="204"/>
      <scheme val="minor"/>
    </font>
    <font>
      <u/>
      <sz val="11"/>
      <color rgb="FFFF0000"/>
      <name val="Calibri"/>
      <family val="2"/>
      <charset val="204"/>
      <scheme val="minor"/>
    </font>
    <font>
      <b/>
      <sz val="9"/>
      <color indexed="81"/>
      <name val="Tahoma"/>
      <family val="2"/>
    </font>
    <font>
      <sz val="9"/>
      <color indexed="81"/>
      <name val="Tahoma"/>
      <family val="2"/>
    </font>
    <font>
      <sz val="8"/>
      <color theme="1"/>
      <name val="Times New Roman"/>
      <family val="1"/>
    </font>
    <font>
      <sz val="11"/>
      <color rgb="FFFF0000"/>
      <name val="Calibri"/>
      <family val="2"/>
    </font>
    <font>
      <b/>
      <sz val="11"/>
      <color rgb="FFFF0000"/>
      <name val="Calibri"/>
      <family val="2"/>
      <charset val="204"/>
    </font>
    <font>
      <i/>
      <u/>
      <sz val="11"/>
      <color rgb="FF000000"/>
      <name val="Calibri"/>
      <family val="2"/>
      <charset val="204"/>
    </font>
    <font>
      <b/>
      <sz val="10"/>
      <name val="Calibri"/>
      <family val="2"/>
      <scheme val="minor"/>
    </font>
    <font>
      <b/>
      <sz val="10"/>
      <color rgb="FFFF0000"/>
      <name val="Calibri"/>
      <family val="2"/>
      <scheme val="minor"/>
    </font>
    <font>
      <sz val="9"/>
      <color rgb="FFFFFFFF"/>
      <name val="Verdana"/>
      <family val="2"/>
    </font>
    <font>
      <sz val="9"/>
      <color theme="1"/>
      <name val="Verdana"/>
      <family val="2"/>
    </font>
    <font>
      <sz val="9"/>
      <color rgb="FF313131"/>
      <name val="Verdana"/>
      <family val="2"/>
    </font>
    <font>
      <sz val="11"/>
      <color rgb="FFFF0000"/>
      <name val="Calibri"/>
      <family val="2"/>
      <scheme val="minor"/>
    </font>
    <font>
      <sz val="11"/>
      <color theme="0"/>
      <name val="Calibri"/>
      <family val="2"/>
      <scheme val="minor"/>
    </font>
    <font>
      <b/>
      <sz val="11"/>
      <color rgb="FFFF0000"/>
      <name val="Calibri"/>
      <family val="2"/>
      <scheme val="minor"/>
    </font>
    <font>
      <sz val="8"/>
      <name val="Calibri"/>
      <family val="2"/>
      <scheme val="minor"/>
    </font>
    <font>
      <sz val="11"/>
      <color theme="9" tint="-0.499984740745262"/>
      <name val="Calibri"/>
      <family val="2"/>
      <charset val="204"/>
      <scheme val="minor"/>
    </font>
    <font>
      <sz val="11"/>
      <color theme="9" tint="-0.499984740745262"/>
      <name val="Calibri"/>
      <family val="2"/>
      <scheme val="minor"/>
    </font>
    <font>
      <b/>
      <i/>
      <u/>
      <sz val="11"/>
      <name val="Calibri"/>
      <family val="2"/>
      <scheme val="minor"/>
    </font>
    <font>
      <sz val="11"/>
      <color theme="9"/>
      <name val="Calibri"/>
      <family val="2"/>
      <scheme val="minor"/>
    </font>
    <font>
      <b/>
      <u/>
      <sz val="11"/>
      <name val="Calibri"/>
      <family val="2"/>
      <scheme val="minor"/>
    </font>
    <font>
      <b/>
      <i/>
      <sz val="11"/>
      <name val="Calibri"/>
      <family val="2"/>
      <scheme val="minor"/>
    </font>
    <font>
      <sz val="11"/>
      <color rgb="FF00B050"/>
      <name val="Calibri"/>
      <family val="2"/>
      <scheme val="minor"/>
    </font>
    <font>
      <b/>
      <sz val="11"/>
      <color theme="9" tint="-0.499984740745262"/>
      <name val="Calibri"/>
      <family val="2"/>
      <scheme val="minor"/>
    </font>
  </fonts>
  <fills count="67">
    <fill>
      <patternFill patternType="none"/>
    </fill>
    <fill>
      <patternFill patternType="gray125"/>
    </fill>
    <fill>
      <patternFill patternType="solid">
        <fgColor theme="0" tint="-4.9989318521683403E-2"/>
        <bgColor indexed="64"/>
      </patternFill>
    </fill>
    <fill>
      <patternFill patternType="solid">
        <fgColor theme="9" tint="0.79998168889431442"/>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theme="7" tint="0.39997558519241921"/>
        <bgColor indexed="64"/>
      </patternFill>
    </fill>
    <fill>
      <patternFill patternType="solid">
        <fgColor theme="9" tint="-0.249977111117893"/>
        <bgColor indexed="64"/>
      </patternFill>
    </fill>
    <fill>
      <patternFill patternType="solid">
        <fgColor rgb="FFD9E1F2"/>
        <bgColor rgb="FFD9E1F2"/>
      </patternFill>
    </fill>
    <fill>
      <patternFill patternType="solid">
        <fgColor rgb="FFFFFF99"/>
        <bgColor rgb="FFFFFF99"/>
      </patternFill>
    </fill>
    <fill>
      <patternFill patternType="solid">
        <fgColor theme="6" tint="0.79998168889431442"/>
        <bgColor indexed="64"/>
      </patternFill>
    </fill>
    <fill>
      <patternFill patternType="solid">
        <fgColor rgb="FFFFFF00"/>
        <bgColor indexed="64"/>
      </patternFill>
    </fill>
    <fill>
      <patternFill patternType="solid">
        <fgColor theme="9" tint="0.79998168889431442"/>
        <bgColor rgb="FFFFFF99"/>
      </patternFill>
    </fill>
    <fill>
      <patternFill patternType="solid">
        <fgColor theme="9" tint="0.79998168889431442"/>
        <bgColor rgb="FFD0CECE"/>
      </patternFill>
    </fill>
    <fill>
      <patternFill patternType="solid">
        <fgColor theme="5" tint="0.79998168889431442"/>
        <bgColor rgb="FFFFFF99"/>
      </patternFill>
    </fill>
    <fill>
      <patternFill patternType="solid">
        <fgColor theme="5" tint="0.79998168889431442"/>
        <bgColor rgb="FFD0CECE"/>
      </patternFill>
    </fill>
    <fill>
      <patternFill patternType="solid">
        <fgColor theme="0"/>
        <bgColor rgb="FF92D050"/>
      </patternFill>
    </fill>
    <fill>
      <patternFill patternType="solid">
        <fgColor rgb="FFD0CECE"/>
        <bgColor rgb="FFD0CECE"/>
      </patternFill>
    </fill>
    <fill>
      <patternFill patternType="solid">
        <fgColor theme="0"/>
        <bgColor rgb="FFFFFF99"/>
      </patternFill>
    </fill>
    <fill>
      <patternFill patternType="solid">
        <fgColor rgb="FFD9D9D9"/>
        <bgColor rgb="FFD9D9D9"/>
      </patternFill>
    </fill>
    <fill>
      <patternFill patternType="solid">
        <fgColor theme="4" tint="0.59999389629810485"/>
        <bgColor indexed="64"/>
      </patternFill>
    </fill>
    <fill>
      <patternFill patternType="solid">
        <fgColor theme="5"/>
        <bgColor indexed="64"/>
      </patternFill>
    </fill>
    <fill>
      <patternFill patternType="solid">
        <fgColor theme="2" tint="-0.249977111117893"/>
        <bgColor indexed="64"/>
      </patternFill>
    </fill>
    <fill>
      <patternFill patternType="solid">
        <fgColor theme="7" tint="0.79998168889431442"/>
        <bgColor indexed="64"/>
      </patternFill>
    </fill>
    <fill>
      <patternFill patternType="solid">
        <fgColor theme="1"/>
        <bgColor indexed="64"/>
      </patternFill>
    </fill>
    <fill>
      <patternFill patternType="solid">
        <fgColor indexed="22"/>
        <bgColor indexed="64"/>
      </patternFill>
    </fill>
    <fill>
      <patternFill patternType="solid">
        <fgColor theme="6" tint="0.39997558519241921"/>
        <bgColor indexed="64"/>
      </patternFill>
    </fill>
    <fill>
      <patternFill patternType="solid">
        <fgColor rgb="FFFF0000"/>
        <bgColor indexed="64"/>
      </patternFill>
    </fill>
    <fill>
      <patternFill patternType="solid">
        <fgColor theme="2"/>
        <bgColor indexed="64"/>
      </patternFill>
    </fill>
    <fill>
      <patternFill patternType="solid">
        <fgColor indexed="42"/>
        <bgColor indexed="64"/>
      </patternFill>
    </fill>
    <fill>
      <patternFill patternType="solid">
        <fgColor theme="2" tint="-4.9989318521683403E-2"/>
        <bgColor indexed="64"/>
      </patternFill>
    </fill>
    <fill>
      <patternFill patternType="solid">
        <fgColor indexed="8"/>
        <bgColor indexed="64"/>
      </patternFill>
    </fill>
    <fill>
      <patternFill patternType="solid">
        <fgColor rgb="FF00B050"/>
        <bgColor indexed="64"/>
      </patternFill>
    </fill>
    <fill>
      <patternFill patternType="solid">
        <fgColor rgb="FF92D050"/>
        <bgColor indexed="64"/>
      </patternFill>
    </fill>
    <fill>
      <patternFill patternType="solid">
        <fgColor theme="0" tint="-0.34998626667073579"/>
        <bgColor indexed="64"/>
      </patternFill>
    </fill>
    <fill>
      <patternFill patternType="solid">
        <fgColor theme="6" tint="0.59999389629810485"/>
        <bgColor indexed="64"/>
      </patternFill>
    </fill>
    <fill>
      <patternFill patternType="solid">
        <fgColor theme="2" tint="-9.9978637043366805E-2"/>
        <bgColor indexed="64"/>
      </patternFill>
    </fill>
    <fill>
      <patternFill patternType="solid">
        <fgColor indexed="9"/>
        <bgColor indexed="64"/>
      </patternFill>
    </fill>
    <fill>
      <patternFill patternType="solid">
        <fgColor rgb="FFC6EFCE"/>
      </patternFill>
    </fill>
    <fill>
      <patternFill patternType="solid">
        <fgColor rgb="FFFFEB9C"/>
      </patternFill>
    </fill>
    <fill>
      <patternFill patternType="solid">
        <fgColor theme="4" tint="0.79998168889431442"/>
        <bgColor indexed="65"/>
      </patternFill>
    </fill>
    <fill>
      <patternFill patternType="solid">
        <fgColor theme="5" tint="0.79998168889431442"/>
        <bgColor indexed="64"/>
      </patternFill>
    </fill>
    <fill>
      <patternFill patternType="solid">
        <fgColor theme="8" tint="0.59999389629810485"/>
        <bgColor indexed="64"/>
      </patternFill>
    </fill>
    <fill>
      <patternFill patternType="solid">
        <fgColor rgb="FFC00000"/>
        <bgColor indexed="64"/>
      </patternFill>
    </fill>
    <fill>
      <patternFill patternType="solid">
        <fgColor theme="4" tint="0.79998168889431442"/>
        <bgColor theme="4" tint="0.79998168889431442"/>
      </patternFill>
    </fill>
    <fill>
      <patternFill patternType="solid">
        <fgColor rgb="FFFFC000"/>
        <bgColor indexed="64"/>
      </patternFill>
    </fill>
    <fill>
      <patternFill patternType="solid">
        <fgColor rgb="FFFFFFFF"/>
        <bgColor rgb="FF000000"/>
      </patternFill>
    </fill>
    <fill>
      <patternFill patternType="solid">
        <fgColor rgb="FFC6EFCE"/>
        <bgColor rgb="FF000000"/>
      </patternFill>
    </fill>
    <fill>
      <patternFill patternType="solid">
        <fgColor rgb="FF538DD5"/>
        <bgColor rgb="FF000000"/>
      </patternFill>
    </fill>
    <fill>
      <patternFill patternType="solid">
        <fgColor rgb="FFFF6600"/>
        <bgColor rgb="FF000000"/>
      </patternFill>
    </fill>
    <fill>
      <patternFill patternType="solid">
        <fgColor rgb="FF66CCFF"/>
        <bgColor rgb="FF000000"/>
      </patternFill>
    </fill>
    <fill>
      <patternFill patternType="solid">
        <fgColor rgb="FF0B55C1"/>
        <bgColor rgb="FF000000"/>
      </patternFill>
    </fill>
    <fill>
      <patternFill patternType="solid">
        <fgColor rgb="FF50EF11"/>
        <bgColor rgb="FF000000"/>
      </patternFill>
    </fill>
    <fill>
      <patternFill patternType="solid">
        <fgColor rgb="FFFF0000"/>
        <bgColor rgb="FF000000"/>
      </patternFill>
    </fill>
    <fill>
      <patternFill patternType="solid">
        <fgColor rgb="FFFABF8F"/>
        <bgColor rgb="FF000000"/>
      </patternFill>
    </fill>
    <fill>
      <patternFill patternType="solid">
        <fgColor rgb="FFCCFFFF"/>
        <bgColor rgb="FF000000"/>
      </patternFill>
    </fill>
    <fill>
      <patternFill patternType="solid">
        <fgColor rgb="FFFFFF99"/>
        <bgColor rgb="FF000000"/>
      </patternFill>
    </fill>
    <fill>
      <patternFill patternType="solid">
        <fgColor rgb="FFFFFF66"/>
        <bgColor rgb="FF000000"/>
      </patternFill>
    </fill>
    <fill>
      <patternFill patternType="solid">
        <fgColor rgb="FFD9D9D9"/>
        <bgColor rgb="FF000000"/>
      </patternFill>
    </fill>
    <fill>
      <patternFill patternType="solid">
        <fgColor rgb="FFE7E6E6"/>
        <bgColor rgb="FFE7E6E6"/>
      </patternFill>
    </fill>
    <fill>
      <patternFill patternType="solid">
        <fgColor rgb="FF92D050"/>
        <bgColor rgb="FFD0CECE"/>
      </patternFill>
    </fill>
    <fill>
      <patternFill patternType="solid">
        <fgColor theme="0" tint="-0.249977111117893"/>
        <bgColor indexed="64"/>
      </patternFill>
    </fill>
    <fill>
      <patternFill patternType="solid">
        <fgColor theme="5" tint="0.59999389629810485"/>
        <bgColor indexed="64"/>
      </patternFill>
    </fill>
    <fill>
      <patternFill patternType="solid">
        <fgColor theme="4" tint="0.39997558519241921"/>
        <bgColor indexed="64"/>
      </patternFill>
    </fill>
    <fill>
      <patternFill patternType="solid">
        <fgColor rgb="FF277CB2"/>
        <bgColor indexed="64"/>
      </patternFill>
    </fill>
    <fill>
      <patternFill patternType="solid">
        <fgColor rgb="FFFFFFFF"/>
        <bgColor indexed="64"/>
      </patternFill>
    </fill>
    <fill>
      <patternFill patternType="solid">
        <fgColor theme="9" tint="0.59999389629810485"/>
        <bgColor indexed="64"/>
      </patternFill>
    </fill>
  </fills>
  <borders count="159">
    <border>
      <left/>
      <right/>
      <top/>
      <bottom/>
      <diagonal/>
    </border>
    <border>
      <left/>
      <right/>
      <top/>
      <bottom style="thin">
        <color indexed="64"/>
      </bottom>
      <diagonal/>
    </border>
    <border>
      <left/>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thick">
        <color theme="4"/>
      </bottom>
      <diagonal/>
    </border>
    <border>
      <left/>
      <right/>
      <top/>
      <bottom style="thin">
        <color theme="4" tint="-0.499984740745262"/>
      </bottom>
      <diagonal/>
    </border>
    <border>
      <left/>
      <right/>
      <top/>
      <bottom style="medium">
        <color theme="4" tint="-0.499984740745262"/>
      </bottom>
      <diagonal/>
    </border>
    <border>
      <left/>
      <right style="thin">
        <color theme="1" tint="0.499984740745262"/>
      </right>
      <top/>
      <bottom/>
      <diagonal/>
    </border>
    <border>
      <left/>
      <right style="thin">
        <color theme="1" tint="0.499984740745262"/>
      </right>
      <top style="thin">
        <color theme="0" tint="-0.14999847407452621"/>
      </top>
      <bottom style="thick">
        <color theme="4"/>
      </bottom>
      <diagonal/>
    </border>
    <border>
      <left/>
      <right/>
      <top style="thin">
        <color theme="0" tint="-0.14999847407452621"/>
      </top>
      <bottom style="thick">
        <color theme="4"/>
      </bottom>
      <diagonal/>
    </border>
    <border>
      <left/>
      <right style="thin">
        <color theme="1" tint="0.499984740745262"/>
      </right>
      <top style="thin">
        <color theme="0" tint="-0.14999847407452621"/>
      </top>
      <bottom style="medium">
        <color theme="4" tint="0.39997558519241921"/>
      </bottom>
      <diagonal/>
    </border>
    <border>
      <left/>
      <right/>
      <top style="thin">
        <color theme="0" tint="-0.14999847407452621"/>
      </top>
      <bottom style="medium">
        <color theme="4" tint="0.39997558519241921"/>
      </bottom>
      <diagonal/>
    </border>
    <border>
      <left style="thin">
        <color indexed="64"/>
      </left>
      <right/>
      <top/>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style="thin">
        <color indexed="64"/>
      </bottom>
      <diagonal/>
    </border>
    <border>
      <left/>
      <right/>
      <top style="dashed">
        <color indexed="64"/>
      </top>
      <bottom style="dashed">
        <color indexed="64"/>
      </bottom>
      <diagonal/>
    </border>
    <border>
      <left style="thin">
        <color rgb="FF000000"/>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theme="4"/>
      </top>
      <bottom style="double">
        <color theme="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22"/>
      </top>
      <bottom/>
      <diagonal/>
    </border>
    <border>
      <left/>
      <right/>
      <top style="thin">
        <color indexed="22"/>
      </top>
      <bottom style="thin">
        <color indexed="22"/>
      </bottom>
      <diagonal/>
    </border>
    <border>
      <left/>
      <right/>
      <top/>
      <bottom style="thick">
        <color theme="4" tint="0.499984740745262"/>
      </bottom>
      <diagonal/>
    </border>
    <border>
      <left/>
      <right/>
      <top/>
      <bottom style="medium">
        <color theme="4" tint="0.39997558519241921"/>
      </bottom>
      <diagonal/>
    </border>
    <border>
      <left style="medium">
        <color theme="1" tint="0.499984740745262"/>
      </left>
      <right style="thin">
        <color theme="1" tint="0.499984740745262"/>
      </right>
      <top style="medium">
        <color theme="1" tint="0.499984740745262"/>
      </top>
      <bottom style="thin">
        <color theme="0"/>
      </bottom>
      <diagonal/>
    </border>
    <border>
      <left/>
      <right/>
      <top style="medium">
        <color theme="1" tint="0.499984740745262"/>
      </top>
      <bottom style="thin">
        <color theme="0"/>
      </bottom>
      <diagonal/>
    </border>
    <border>
      <left/>
      <right style="medium">
        <color theme="1" tint="0.499984740745262"/>
      </right>
      <top style="medium">
        <color theme="1" tint="0.499984740745262"/>
      </top>
      <bottom style="thin">
        <color theme="0"/>
      </bottom>
      <diagonal/>
    </border>
    <border>
      <left style="medium">
        <color theme="1" tint="0.499984740745262"/>
      </left>
      <right style="thin">
        <color theme="1" tint="0.499984740745262"/>
      </right>
      <top style="thin">
        <color theme="0"/>
      </top>
      <bottom style="thin">
        <color theme="0"/>
      </bottom>
      <diagonal/>
    </border>
    <border>
      <left/>
      <right/>
      <top style="thin">
        <color theme="0" tint="-0.34998626667073579"/>
      </top>
      <bottom style="thin">
        <color theme="0"/>
      </bottom>
      <diagonal/>
    </border>
    <border>
      <left/>
      <right style="medium">
        <color theme="1" tint="0.499984740745262"/>
      </right>
      <top style="thin">
        <color theme="0"/>
      </top>
      <bottom style="thin">
        <color theme="0"/>
      </bottom>
      <diagonal/>
    </border>
    <border>
      <left style="medium">
        <color theme="1" tint="0.499984740745262"/>
      </left>
      <right style="thin">
        <color theme="1" tint="0.499984740745262"/>
      </right>
      <top style="thin">
        <color theme="0"/>
      </top>
      <bottom style="medium">
        <color theme="1" tint="0.499984740745262"/>
      </bottom>
      <diagonal/>
    </border>
    <border>
      <left/>
      <right/>
      <top style="thin">
        <color theme="0"/>
      </top>
      <bottom style="medium">
        <color theme="1" tint="0.499984740745262"/>
      </bottom>
      <diagonal/>
    </border>
    <border>
      <left/>
      <right style="medium">
        <color theme="1" tint="0.499984740745262"/>
      </right>
      <top style="thin">
        <color theme="0"/>
      </top>
      <bottom style="medium">
        <color theme="1" tint="0.499984740745262"/>
      </bottom>
      <diagonal/>
    </border>
    <border>
      <left/>
      <right style="thin">
        <color theme="1" tint="0.499984740745262"/>
      </right>
      <top style="thin">
        <color theme="0" tint="-0.14999847407452621"/>
      </top>
      <bottom style="thick">
        <color theme="4" tint="0.499984740745262"/>
      </bottom>
      <diagonal/>
    </border>
    <border>
      <left/>
      <right/>
      <top style="thin">
        <color theme="0" tint="-0.14999847407452621"/>
      </top>
      <bottom style="thick">
        <color theme="4" tint="0.499984740745262"/>
      </bottom>
      <diagonal/>
    </border>
    <border>
      <left style="thin">
        <color rgb="FF000000"/>
      </left>
      <right style="thin">
        <color rgb="FF000000"/>
      </right>
      <top/>
      <bottom style="thin">
        <color rgb="FF000000"/>
      </bottom>
      <diagonal/>
    </border>
    <border>
      <left style="medium">
        <color indexed="64"/>
      </left>
      <right/>
      <top style="thin">
        <color indexed="22"/>
      </top>
      <bottom style="thin">
        <color indexed="22"/>
      </bottom>
      <diagonal/>
    </border>
    <border>
      <left style="medium">
        <color indexed="64"/>
      </left>
      <right/>
      <top style="thin">
        <color indexed="22"/>
      </top>
      <bottom/>
      <diagonal/>
    </border>
    <border>
      <left style="thin">
        <color theme="4" tint="-0.249977111117893"/>
      </left>
      <right/>
      <top style="thin">
        <color theme="4" tint="-0.249977111117893"/>
      </top>
      <bottom/>
      <diagonal/>
    </border>
    <border>
      <left/>
      <right/>
      <top style="thin">
        <color theme="4" tint="-0.249977111117893"/>
      </top>
      <bottom/>
      <diagonal/>
    </border>
    <border>
      <left/>
      <right style="thin">
        <color theme="4" tint="-0.249977111117893"/>
      </right>
      <top style="thin">
        <color theme="4" tint="-0.249977111117893"/>
      </top>
      <bottom/>
      <diagonal/>
    </border>
    <border>
      <left style="thin">
        <color theme="4" tint="-0.249977111117893"/>
      </left>
      <right/>
      <top/>
      <bottom/>
      <diagonal/>
    </border>
    <border>
      <left/>
      <right style="thin">
        <color theme="4" tint="-0.249977111117893"/>
      </right>
      <top/>
      <bottom/>
      <diagonal/>
    </border>
    <border>
      <left style="thin">
        <color theme="4" tint="-0.249977111117893"/>
      </left>
      <right/>
      <top/>
      <bottom style="thin">
        <color theme="4" tint="-0.249977111117893"/>
      </bottom>
      <diagonal/>
    </border>
    <border>
      <left/>
      <right/>
      <top/>
      <bottom style="thin">
        <color theme="4" tint="-0.249977111117893"/>
      </bottom>
      <diagonal/>
    </border>
    <border>
      <left/>
      <right style="thin">
        <color theme="4" tint="-0.249977111117893"/>
      </right>
      <top/>
      <bottom style="thin">
        <color theme="4" tint="-0.249977111117893"/>
      </bottom>
      <diagonal/>
    </border>
    <border>
      <left style="medium">
        <color theme="4" tint="-0.249977111117893"/>
      </left>
      <right/>
      <top style="medium">
        <color theme="4" tint="-0.249977111117893"/>
      </top>
      <bottom/>
      <diagonal/>
    </border>
    <border>
      <left/>
      <right/>
      <top style="medium">
        <color theme="4" tint="-0.249977111117893"/>
      </top>
      <bottom/>
      <diagonal/>
    </border>
    <border>
      <left/>
      <right style="medium">
        <color theme="4" tint="-0.249977111117893"/>
      </right>
      <top style="medium">
        <color theme="4" tint="-0.249977111117893"/>
      </top>
      <bottom/>
      <diagonal/>
    </border>
    <border>
      <left style="medium">
        <color theme="4" tint="-0.249977111117893"/>
      </left>
      <right/>
      <top/>
      <bottom/>
      <diagonal/>
    </border>
    <border>
      <left/>
      <right style="medium">
        <color theme="4" tint="-0.249977111117893"/>
      </right>
      <top/>
      <bottom/>
      <diagonal/>
    </border>
    <border>
      <left style="medium">
        <color theme="4" tint="-0.249977111117893"/>
      </left>
      <right/>
      <top style="thin">
        <color indexed="22"/>
      </top>
      <bottom style="thin">
        <color indexed="22"/>
      </bottom>
      <diagonal/>
    </border>
    <border>
      <left style="medium">
        <color theme="4" tint="-0.249977111117893"/>
      </left>
      <right/>
      <top style="thin">
        <color indexed="22"/>
      </top>
      <bottom/>
      <diagonal/>
    </border>
    <border>
      <left style="medium">
        <color theme="4" tint="-0.249977111117893"/>
      </left>
      <right/>
      <top/>
      <bottom style="medium">
        <color theme="4" tint="-0.249977111117893"/>
      </bottom>
      <diagonal/>
    </border>
    <border>
      <left/>
      <right/>
      <top/>
      <bottom style="medium">
        <color theme="4" tint="-0.249977111117893"/>
      </bottom>
      <diagonal/>
    </border>
    <border>
      <left/>
      <right style="medium">
        <color theme="4" tint="-0.249977111117893"/>
      </right>
      <top/>
      <bottom style="medium">
        <color theme="4" tint="-0.249977111117893"/>
      </bottom>
      <diagonal/>
    </border>
    <border>
      <left style="medium">
        <color theme="4" tint="-0.249977111117893"/>
      </left>
      <right style="medium">
        <color theme="4" tint="-0.249977111117893"/>
      </right>
      <top style="medium">
        <color theme="4" tint="-0.249977111117893"/>
      </top>
      <bottom style="medium">
        <color theme="4" tint="-0.249977111117893"/>
      </bottom>
      <diagonal/>
    </border>
    <border>
      <left/>
      <right/>
      <top/>
      <bottom style="thin">
        <color theme="1"/>
      </bottom>
      <diagonal/>
    </border>
    <border>
      <left style="medium">
        <color rgb="FF00B050"/>
      </left>
      <right style="medium">
        <color rgb="FF00B050"/>
      </right>
      <top/>
      <bottom style="thin">
        <color theme="1"/>
      </bottom>
      <diagonal/>
    </border>
    <border>
      <left/>
      <right/>
      <top style="thin">
        <color theme="1"/>
      </top>
      <bottom style="thin">
        <color theme="1"/>
      </bottom>
      <diagonal/>
    </border>
    <border>
      <left style="medium">
        <color rgb="FFC00000"/>
      </left>
      <right style="medium">
        <color rgb="FFC00000"/>
      </right>
      <top style="thin">
        <color theme="1"/>
      </top>
      <bottom style="thin">
        <color theme="1"/>
      </bottom>
      <diagonal/>
    </border>
    <border>
      <left style="medium">
        <color rgb="FFC00000"/>
      </left>
      <right style="medium">
        <color rgb="FFC00000"/>
      </right>
      <top/>
      <bottom style="thin">
        <color theme="1"/>
      </bottom>
      <diagonal/>
    </border>
    <border>
      <left style="medium">
        <color indexed="64"/>
      </left>
      <right/>
      <top style="thin">
        <color theme="1"/>
      </top>
      <bottom style="thin">
        <color theme="1"/>
      </bottom>
      <diagonal/>
    </border>
    <border>
      <left/>
      <right style="medium">
        <color indexed="64"/>
      </right>
      <top style="thin">
        <color theme="1"/>
      </top>
      <bottom style="thin">
        <color theme="1"/>
      </bottom>
      <diagonal/>
    </border>
    <border>
      <left/>
      <right/>
      <top/>
      <bottom style="thin">
        <color theme="4" tint="0.39997558519241921"/>
      </bottom>
      <diagonal/>
    </border>
    <border>
      <left style="medium">
        <color rgb="FF969696"/>
      </left>
      <right style="medium">
        <color rgb="FF969696"/>
      </right>
      <top style="medium">
        <color rgb="FF969696"/>
      </top>
      <bottom/>
      <diagonal/>
    </border>
    <border>
      <left style="medium">
        <color rgb="FF969696"/>
      </left>
      <right style="medium">
        <color rgb="FF969696"/>
      </right>
      <top/>
      <bottom style="medium">
        <color rgb="FFBFBFBF"/>
      </bottom>
      <diagonal/>
    </border>
    <border>
      <left style="medium">
        <color rgb="FF969696"/>
      </left>
      <right/>
      <top style="hair">
        <color rgb="FF969696"/>
      </top>
      <bottom style="hair">
        <color rgb="FF969696"/>
      </bottom>
      <diagonal/>
    </border>
    <border>
      <left style="medium">
        <color rgb="FFBFBFBF"/>
      </left>
      <right style="medium">
        <color rgb="FFBFBFBF"/>
      </right>
      <top style="medium">
        <color rgb="FFBFBFBF"/>
      </top>
      <bottom style="hair">
        <color rgb="FFBFBFBF"/>
      </bottom>
      <diagonal/>
    </border>
    <border>
      <left style="medium">
        <color rgb="FFBFBFBF"/>
      </left>
      <right style="medium">
        <color rgb="FFBFBFBF"/>
      </right>
      <top style="hair">
        <color rgb="FFBFBFBF"/>
      </top>
      <bottom style="hair">
        <color rgb="FFBFBFBF"/>
      </bottom>
      <diagonal/>
    </border>
    <border>
      <left style="medium">
        <color rgb="FF969696"/>
      </left>
      <right/>
      <top style="hair">
        <color rgb="FF969696"/>
      </top>
      <bottom/>
      <diagonal/>
    </border>
    <border>
      <left style="medium">
        <color rgb="FF969696"/>
      </left>
      <right/>
      <top style="medium">
        <color rgb="FF969696"/>
      </top>
      <bottom style="medium">
        <color rgb="FF969696"/>
      </bottom>
      <diagonal/>
    </border>
    <border>
      <left style="medium">
        <color rgb="FFBFBFBF"/>
      </left>
      <right style="medium">
        <color rgb="FFBFBFBF"/>
      </right>
      <top style="hair">
        <color rgb="FFBFBFBF"/>
      </top>
      <bottom style="medium">
        <color rgb="FFBFBFBF"/>
      </bottom>
      <diagonal/>
    </border>
    <border>
      <left/>
      <right/>
      <top style="thin">
        <color theme="4" tint="0.39997558519241921"/>
      </top>
      <bottom/>
      <diagonal/>
    </border>
    <border>
      <left style="medium">
        <color rgb="FF000000"/>
      </left>
      <right style="thin">
        <color rgb="FF000000"/>
      </right>
      <top style="medium">
        <color rgb="FF000000"/>
      </top>
      <bottom style="thin">
        <color rgb="FF000000"/>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style="medium">
        <color rgb="FF000000"/>
      </right>
      <top style="medium">
        <color rgb="FF000000"/>
      </top>
      <bottom/>
      <diagonal/>
    </border>
    <border>
      <left style="medium">
        <color rgb="FF000000"/>
      </left>
      <right style="thin">
        <color rgb="FF000000"/>
      </right>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top style="thin">
        <color rgb="FF000000"/>
      </top>
      <bottom style="thin">
        <color rgb="FF000000"/>
      </bottom>
      <diagonal/>
    </border>
    <border>
      <left style="medium">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medium">
        <color rgb="FFFF0000"/>
      </left>
      <right/>
      <top style="medium">
        <color rgb="FFFF0000"/>
      </top>
      <bottom/>
      <diagonal/>
    </border>
    <border>
      <left/>
      <right/>
      <top style="medium">
        <color rgb="FFFF0000"/>
      </top>
      <bottom/>
      <diagonal/>
    </border>
    <border>
      <left/>
      <right style="medium">
        <color rgb="FFFF0000"/>
      </right>
      <top style="medium">
        <color rgb="FFFF0000"/>
      </top>
      <bottom/>
      <diagonal/>
    </border>
    <border>
      <left style="medium">
        <color rgb="FFFF0000"/>
      </left>
      <right/>
      <top/>
      <bottom/>
      <diagonal/>
    </border>
    <border>
      <left/>
      <right style="medium">
        <color rgb="FFFF0000"/>
      </right>
      <top/>
      <bottom/>
      <diagonal/>
    </border>
    <border>
      <left style="medium">
        <color rgb="FFFF0000"/>
      </left>
      <right/>
      <top/>
      <bottom style="medium">
        <color rgb="FFFF0000"/>
      </bottom>
      <diagonal/>
    </border>
    <border>
      <left/>
      <right/>
      <top/>
      <bottom style="medium">
        <color rgb="FFFF0000"/>
      </bottom>
      <diagonal/>
    </border>
    <border>
      <left/>
      <right style="medium">
        <color rgb="FFFF0000"/>
      </right>
      <top/>
      <bottom style="medium">
        <color rgb="FFFF0000"/>
      </bottom>
      <diagonal/>
    </border>
    <border>
      <left style="medium">
        <color rgb="FFFF0000"/>
      </left>
      <right style="medium">
        <color rgb="FFFF0000"/>
      </right>
      <top style="medium">
        <color rgb="FFFF0000"/>
      </top>
      <bottom style="medium">
        <color rgb="FFFF0000"/>
      </bottom>
      <diagonal/>
    </border>
    <border>
      <left/>
      <right/>
      <top style="medium">
        <color rgb="FFFF0000"/>
      </top>
      <bottom style="medium">
        <color rgb="FFFF0000"/>
      </bottom>
      <diagonal/>
    </border>
    <border>
      <left/>
      <right style="medium">
        <color rgb="FFFF0000"/>
      </right>
      <top style="medium">
        <color rgb="FFFF0000"/>
      </top>
      <bottom style="medium">
        <color rgb="FFFF0000"/>
      </bottom>
      <diagonal/>
    </border>
    <border>
      <left style="medium">
        <color rgb="FFFF0000"/>
      </left>
      <right style="medium">
        <color rgb="FFFF0000"/>
      </right>
      <top/>
      <bottom/>
      <diagonal/>
    </border>
    <border>
      <left style="medium">
        <color rgb="FFFF0000"/>
      </left>
      <right style="medium">
        <color rgb="FFFF0000"/>
      </right>
      <top/>
      <bottom style="medium">
        <color rgb="FFFF0000"/>
      </bottom>
      <diagonal/>
    </border>
    <border>
      <left/>
      <right style="thick">
        <color rgb="FFFFFFFF"/>
      </right>
      <top style="thick">
        <color rgb="FFFFFFFF"/>
      </top>
      <bottom style="thick">
        <color rgb="FFEBF0F5"/>
      </bottom>
      <diagonal/>
    </border>
    <border>
      <left/>
      <right style="thick">
        <color rgb="FFEBF0F5"/>
      </right>
      <top/>
      <bottom style="thick">
        <color rgb="FFEBF0F5"/>
      </bottom>
      <diagonal/>
    </border>
    <border>
      <left/>
      <right/>
      <top style="thick">
        <color rgb="FFEBF0F5"/>
      </top>
      <bottom style="thick">
        <color rgb="FFEBF0F5"/>
      </bottom>
      <diagonal/>
    </border>
    <border>
      <left style="medium">
        <color rgb="FFC00000"/>
      </left>
      <right style="medium">
        <color rgb="FFC00000"/>
      </right>
      <top style="thin">
        <color indexed="64"/>
      </top>
      <bottom style="thin">
        <color indexed="64"/>
      </bottom>
      <diagonal/>
    </border>
    <border>
      <left style="thin">
        <color indexed="64"/>
      </left>
      <right style="medium">
        <color indexed="64"/>
      </right>
      <top/>
      <bottom/>
      <diagonal/>
    </border>
    <border>
      <left/>
      <right/>
      <top/>
      <bottom style="thin">
        <color indexed="22"/>
      </bottom>
      <diagonal/>
    </border>
    <border>
      <left style="medium">
        <color indexed="64"/>
      </left>
      <right/>
      <top/>
      <bottom style="thin">
        <color indexed="22"/>
      </bottom>
      <diagonal/>
    </border>
    <border>
      <left/>
      <right/>
      <top style="thin">
        <color theme="1"/>
      </top>
      <bottom/>
      <diagonal/>
    </border>
    <border>
      <left style="medium">
        <color indexed="64"/>
      </left>
      <right/>
      <top/>
      <bottom style="thin">
        <color theme="1"/>
      </bottom>
      <diagonal/>
    </border>
    <border>
      <left/>
      <right style="medium">
        <color indexed="64"/>
      </right>
      <top/>
      <bottom style="thin">
        <color theme="1"/>
      </bottom>
      <diagonal/>
    </border>
  </borders>
  <cellStyleXfs count="58">
    <xf numFmtId="0" fontId="0" fillId="0" borderId="0"/>
    <xf numFmtId="43" fontId="11" fillId="0" borderId="0" applyFont="0" applyFill="0" applyBorder="0" applyAlignment="0" applyProtection="0"/>
    <xf numFmtId="9" fontId="11" fillId="0" borderId="0" applyFont="0" applyFill="0" applyBorder="0" applyAlignment="0" applyProtection="0"/>
    <xf numFmtId="0" fontId="12" fillId="0" borderId="18" applyNumberFormat="0" applyFill="0" applyAlignment="0" applyProtection="0"/>
    <xf numFmtId="0" fontId="28" fillId="0" borderId="0"/>
    <xf numFmtId="169" fontId="28" fillId="0" borderId="0" applyFont="0" applyFill="0" applyBorder="0" applyAlignment="0" applyProtection="0"/>
    <xf numFmtId="9" fontId="28" fillId="0" borderId="0" applyFont="0" applyFill="0" applyBorder="0" applyAlignment="0" applyProtection="0"/>
    <xf numFmtId="0" fontId="32" fillId="0" borderId="0" applyNumberFormat="0" applyFont="0" applyBorder="0" applyProtection="0"/>
    <xf numFmtId="171" fontId="32" fillId="0" borderId="0" applyFont="0" applyFill="0" applyBorder="0" applyAlignment="0" applyProtection="0"/>
    <xf numFmtId="43" fontId="5" fillId="0" borderId="0" applyFont="0" applyFill="0" applyBorder="0" applyAlignment="0" applyProtection="0"/>
    <xf numFmtId="176" fontId="4" fillId="0" borderId="0" applyFont="0" applyFill="0" applyBorder="0" applyAlignment="0" applyProtection="0"/>
    <xf numFmtId="0" fontId="37" fillId="0" borderId="0"/>
    <xf numFmtId="0" fontId="37" fillId="0" borderId="0"/>
    <xf numFmtId="0" fontId="63" fillId="0" borderId="0"/>
    <xf numFmtId="0" fontId="30" fillId="0" borderId="64" applyNumberFormat="0" applyFill="0" applyAlignment="0" applyProtection="0"/>
    <xf numFmtId="0" fontId="69" fillId="0" borderId="0"/>
    <xf numFmtId="9" fontId="74" fillId="0" borderId="0" applyFont="0" applyFill="0" applyBorder="0" applyAlignment="0" applyProtection="0"/>
    <xf numFmtId="181" fontId="75" fillId="0" borderId="0" applyFont="0" applyFill="0" applyBorder="0" applyAlignment="0" applyProtection="0"/>
    <xf numFmtId="9" fontId="75" fillId="0" borderId="0" applyFont="0" applyFill="0" applyBorder="0" applyAlignment="0" applyProtection="0"/>
    <xf numFmtId="169" fontId="3" fillId="0" borderId="0" applyFont="0" applyFill="0" applyBorder="0" applyAlignment="0" applyProtection="0"/>
    <xf numFmtId="0" fontId="38" fillId="0" borderId="0"/>
    <xf numFmtId="185" fontId="83" fillId="0" borderId="0" applyFont="0" applyFill="0" applyBorder="0" applyAlignment="0" applyProtection="0"/>
    <xf numFmtId="9" fontId="83" fillId="0" borderId="0" applyFont="0" applyFill="0" applyBorder="0" applyAlignment="0" applyProtection="0"/>
    <xf numFmtId="0" fontId="38" fillId="0" borderId="0"/>
    <xf numFmtId="9" fontId="85" fillId="0" borderId="0" applyFont="0" applyFill="0" applyBorder="0" applyAlignment="0" applyProtection="0"/>
    <xf numFmtId="0" fontId="75" fillId="0" borderId="0"/>
    <xf numFmtId="43" fontId="76" fillId="0" borderId="0" applyFont="0" applyFill="0" applyBorder="0" applyAlignment="0" applyProtection="0"/>
    <xf numFmtId="9" fontId="76"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7" fillId="0" borderId="0"/>
    <xf numFmtId="0" fontId="3" fillId="0" borderId="0"/>
    <xf numFmtId="0" fontId="3" fillId="0" borderId="0"/>
    <xf numFmtId="0" fontId="3" fillId="0" borderId="0"/>
    <xf numFmtId="0" fontId="76" fillId="0" borderId="0"/>
    <xf numFmtId="176" fontId="76" fillId="0" borderId="0" applyFont="0" applyFill="0" applyBorder="0" applyAlignment="0" applyProtection="0"/>
    <xf numFmtId="0" fontId="3" fillId="0" borderId="0"/>
    <xf numFmtId="9" fontId="76" fillId="0" borderId="0" applyFont="0" applyFill="0" applyBorder="0" applyAlignment="0" applyProtection="0"/>
    <xf numFmtId="0" fontId="3" fillId="0" borderId="0"/>
    <xf numFmtId="43" fontId="76" fillId="0" borderId="0" applyFont="0" applyFill="0" applyBorder="0" applyAlignment="0" applyProtection="0"/>
    <xf numFmtId="0" fontId="3" fillId="0" borderId="0"/>
    <xf numFmtId="43" fontId="3" fillId="0" borderId="0" applyFont="0" applyFill="0" applyBorder="0" applyAlignment="0" applyProtection="0"/>
    <xf numFmtId="0" fontId="76" fillId="0" borderId="0"/>
    <xf numFmtId="43" fontId="3" fillId="0" borderId="0" applyFont="0" applyFill="0" applyBorder="0" applyAlignment="0" applyProtection="0"/>
    <xf numFmtId="0" fontId="3" fillId="0" borderId="0"/>
    <xf numFmtId="0" fontId="3" fillId="0" borderId="0"/>
    <xf numFmtId="43" fontId="76" fillId="0" borderId="0" applyFont="0" applyFill="0" applyBorder="0" applyAlignment="0" applyProtection="0"/>
    <xf numFmtId="0" fontId="86" fillId="0" borderId="0" applyNumberFormat="0" applyFill="0" applyBorder="0" applyAlignment="0" applyProtection="0"/>
    <xf numFmtId="0" fontId="87" fillId="0" borderId="0" applyNumberFormat="0" applyFill="0" applyBorder="0" applyAlignment="0" applyProtection="0"/>
    <xf numFmtId="43" fontId="1" fillId="0" borderId="0" applyFont="0" applyFill="0" applyBorder="0" applyAlignment="0" applyProtection="0"/>
    <xf numFmtId="0" fontId="76" fillId="0" borderId="0"/>
  </cellStyleXfs>
  <cellXfs count="1299">
    <xf numFmtId="0" fontId="0" fillId="0" borderId="0" xfId="0"/>
    <xf numFmtId="0" fontId="6" fillId="0" borderId="0" xfId="0" applyFont="1"/>
    <xf numFmtId="0" fontId="6" fillId="0" borderId="0" xfId="0" applyFont="1" applyAlignment="1">
      <alignment horizontal="center"/>
    </xf>
    <xf numFmtId="0" fontId="7" fillId="0" borderId="0" xfId="0" applyFont="1"/>
    <xf numFmtId="0" fontId="0" fillId="0" borderId="1" xfId="0" applyBorder="1"/>
    <xf numFmtId="0" fontId="0" fillId="2" borderId="2" xfId="0" applyFill="1" applyBorder="1"/>
    <xf numFmtId="0" fontId="8" fillId="0" borderId="0" xfId="0" applyFont="1"/>
    <xf numFmtId="0" fontId="9" fillId="0" borderId="0" xfId="0" applyFont="1"/>
    <xf numFmtId="0" fontId="0" fillId="0" borderId="3" xfId="0" applyBorder="1"/>
    <xf numFmtId="0" fontId="0" fillId="0" borderId="4" xfId="0" applyBorder="1"/>
    <xf numFmtId="0" fontId="0" fillId="0" borderId="5" xfId="0" applyBorder="1"/>
    <xf numFmtId="0" fontId="6" fillId="0" borderId="6" xfId="0" applyFont="1" applyBorder="1"/>
    <xf numFmtId="0" fontId="0" fillId="0" borderId="7" xfId="0" applyBorder="1"/>
    <xf numFmtId="0" fontId="0" fillId="0" borderId="8" xfId="0" applyBorder="1"/>
    <xf numFmtId="0" fontId="0" fillId="0" borderId="9" xfId="0" applyBorder="1"/>
    <xf numFmtId="0" fontId="6" fillId="2" borderId="10" xfId="0" applyFont="1" applyFill="1" applyBorder="1"/>
    <xf numFmtId="0" fontId="0" fillId="2" borderId="11" xfId="0" applyFill="1" applyBorder="1"/>
    <xf numFmtId="0" fontId="0" fillId="0" borderId="6" xfId="0" applyBorder="1"/>
    <xf numFmtId="0" fontId="0" fillId="0" borderId="12" xfId="0" applyBorder="1"/>
    <xf numFmtId="0" fontId="0" fillId="0" borderId="13" xfId="0" applyBorder="1"/>
    <xf numFmtId="0" fontId="0" fillId="0" borderId="14" xfId="0" applyBorder="1"/>
    <xf numFmtId="0" fontId="6" fillId="0" borderId="15" xfId="0" applyFont="1" applyBorder="1"/>
    <xf numFmtId="0" fontId="0" fillId="0" borderId="16" xfId="0" applyBorder="1"/>
    <xf numFmtId="0" fontId="0" fillId="0" borderId="17" xfId="0" applyBorder="1"/>
    <xf numFmtId="0" fontId="6" fillId="0" borderId="16" xfId="0" applyFont="1" applyBorder="1"/>
    <xf numFmtId="0" fontId="0" fillId="0" borderId="9" xfId="0" applyBorder="1" applyAlignment="1">
      <alignment wrapText="1"/>
    </xf>
    <xf numFmtId="0" fontId="16" fillId="0" borderId="18" xfId="3" applyFont="1" applyAlignment="1"/>
    <xf numFmtId="0" fontId="12" fillId="0" borderId="18" xfId="3" applyAlignment="1"/>
    <xf numFmtId="0" fontId="0" fillId="0" borderId="19" xfId="0" applyBorder="1"/>
    <xf numFmtId="0" fontId="0" fillId="0" borderId="19" xfId="0" applyBorder="1" applyAlignment="1">
      <alignment horizontal="center" vertical="center"/>
    </xf>
    <xf numFmtId="0" fontId="17" fillId="0" borderId="0" xfId="0" applyFont="1" applyAlignment="1">
      <alignment vertical="center"/>
    </xf>
    <xf numFmtId="0" fontId="0" fillId="0" borderId="0" xfId="0" applyAlignment="1">
      <alignment horizontal="center"/>
    </xf>
    <xf numFmtId="0" fontId="18" fillId="2" borderId="0" xfId="0" applyFont="1" applyFill="1" applyAlignment="1">
      <alignment horizontal="left" vertical="center"/>
    </xf>
    <xf numFmtId="3" fontId="19" fillId="2" borderId="0" xfId="0" applyNumberFormat="1" applyFont="1" applyFill="1"/>
    <xf numFmtId="0" fontId="20" fillId="2" borderId="0" xfId="0" applyFont="1" applyFill="1" applyAlignment="1">
      <alignment horizontal="left" vertical="center"/>
    </xf>
    <xf numFmtId="164" fontId="19" fillId="2" borderId="0" xfId="0" applyNumberFormat="1" applyFont="1" applyFill="1"/>
    <xf numFmtId="0" fontId="18" fillId="2" borderId="19" xfId="0" applyFont="1" applyFill="1" applyBorder="1" applyAlignment="1">
      <alignment horizontal="left" vertical="center"/>
    </xf>
    <xf numFmtId="164" fontId="21" fillId="2" borderId="19" xfId="0" applyNumberFormat="1" applyFont="1" applyFill="1" applyBorder="1"/>
    <xf numFmtId="0" fontId="22" fillId="2" borderId="0" xfId="0" applyFont="1" applyFill="1" applyAlignment="1">
      <alignment horizontal="left" vertical="center"/>
    </xf>
    <xf numFmtId="165" fontId="22" fillId="2" borderId="0" xfId="0" applyNumberFormat="1" applyFont="1" applyFill="1" applyAlignment="1">
      <alignment vertical="center"/>
    </xf>
    <xf numFmtId="0" fontId="13" fillId="0" borderId="0" xfId="0" applyFont="1" applyAlignment="1">
      <alignment horizontal="left"/>
    </xf>
    <xf numFmtId="165" fontId="13" fillId="0" borderId="0" xfId="0" applyNumberFormat="1" applyFont="1"/>
    <xf numFmtId="0" fontId="18" fillId="3" borderId="0" xfId="0" applyFont="1" applyFill="1" applyAlignment="1">
      <alignment horizontal="left" vertical="center"/>
    </xf>
    <xf numFmtId="3" fontId="19" fillId="3" borderId="0" xfId="0" applyNumberFormat="1" applyFont="1" applyFill="1"/>
    <xf numFmtId="3" fontId="0" fillId="0" borderId="0" xfId="0" applyNumberFormat="1"/>
    <xf numFmtId="166" fontId="0" fillId="0" borderId="0" xfId="2" applyNumberFormat="1" applyFont="1"/>
    <xf numFmtId="0" fontId="20" fillId="3" borderId="0" xfId="0" applyFont="1" applyFill="1" applyAlignment="1">
      <alignment horizontal="left" vertical="center"/>
    </xf>
    <xf numFmtId="164" fontId="19" fillId="3" borderId="0" xfId="0" applyNumberFormat="1" applyFont="1" applyFill="1"/>
    <xf numFmtId="0" fontId="12" fillId="3" borderId="19" xfId="0" applyFont="1" applyFill="1" applyBorder="1" applyAlignment="1">
      <alignment horizontal="left" vertical="center"/>
    </xf>
    <xf numFmtId="164" fontId="21" fillId="3" borderId="19" xfId="0" applyNumberFormat="1" applyFont="1" applyFill="1" applyBorder="1"/>
    <xf numFmtId="0" fontId="22" fillId="3" borderId="0" xfId="0" applyFont="1" applyFill="1" applyAlignment="1">
      <alignment horizontal="left" vertical="center"/>
    </xf>
    <xf numFmtId="165" fontId="22" fillId="3" borderId="0" xfId="0" applyNumberFormat="1" applyFont="1" applyFill="1" applyAlignment="1">
      <alignment vertical="center"/>
    </xf>
    <xf numFmtId="0" fontId="18" fillId="0" borderId="0" xfId="0" applyFont="1" applyAlignment="1">
      <alignment horizontal="left" vertical="center"/>
    </xf>
    <xf numFmtId="9" fontId="12" fillId="0" borderId="0" xfId="2" applyFont="1" applyFill="1" applyBorder="1"/>
    <xf numFmtId="164" fontId="12" fillId="0" borderId="0" xfId="0" applyNumberFormat="1" applyFont="1"/>
    <xf numFmtId="0" fontId="19" fillId="4" borderId="0" xfId="0" applyFont="1" applyFill="1" applyAlignment="1">
      <alignment horizontal="left" vertical="center"/>
    </xf>
    <xf numFmtId="3" fontId="19" fillId="4" borderId="0" xfId="0" applyNumberFormat="1" applyFont="1" applyFill="1"/>
    <xf numFmtId="164" fontId="0" fillId="0" borderId="0" xfId="0" applyNumberFormat="1"/>
    <xf numFmtId="0" fontId="21" fillId="4" borderId="0" xfId="0" applyFont="1" applyFill="1" applyAlignment="1">
      <alignment horizontal="left" vertical="center"/>
    </xf>
    <xf numFmtId="3" fontId="21" fillId="4" borderId="0" xfId="0" applyNumberFormat="1" applyFont="1" applyFill="1"/>
    <xf numFmtId="9" fontId="21" fillId="4" borderId="0" xfId="2" applyFont="1" applyFill="1" applyBorder="1"/>
    <xf numFmtId="164" fontId="19" fillId="4" borderId="0" xfId="0" applyNumberFormat="1" applyFont="1" applyFill="1"/>
    <xf numFmtId="0" fontId="21" fillId="4" borderId="19" xfId="0" applyFont="1" applyFill="1" applyBorder="1" applyAlignment="1">
      <alignment horizontal="left" vertical="center"/>
    </xf>
    <xf numFmtId="164" fontId="21" fillId="4" borderId="19" xfId="0" applyNumberFormat="1" applyFont="1" applyFill="1" applyBorder="1"/>
    <xf numFmtId="0" fontId="21" fillId="4" borderId="0" xfId="0" applyFont="1" applyFill="1" applyAlignment="1">
      <alignment vertical="center"/>
    </xf>
    <xf numFmtId="166" fontId="21" fillId="4" borderId="0" xfId="2" applyNumberFormat="1" applyFont="1" applyFill="1" applyAlignment="1">
      <alignment vertical="center"/>
    </xf>
    <xf numFmtId="167" fontId="6" fillId="0" borderId="0" xfId="0" applyNumberFormat="1" applyFont="1"/>
    <xf numFmtId="0" fontId="6" fillId="0" borderId="1" xfId="0" applyFont="1" applyBorder="1"/>
    <xf numFmtId="3" fontId="21" fillId="4" borderId="1" xfId="0" applyNumberFormat="1" applyFont="1" applyFill="1" applyBorder="1"/>
    <xf numFmtId="0" fontId="8" fillId="2" borderId="0" xfId="0" applyFont="1" applyFill="1" applyAlignment="1">
      <alignment vertical="center"/>
    </xf>
    <xf numFmtId="0" fontId="0" fillId="2" borderId="0" xfId="0" applyFill="1"/>
    <xf numFmtId="0" fontId="6" fillId="0" borderId="0" xfId="0" applyFont="1" applyAlignment="1">
      <alignment vertical="center"/>
    </xf>
    <xf numFmtId="0" fontId="6" fillId="0" borderId="13" xfId="0" applyFont="1" applyBorder="1"/>
    <xf numFmtId="3" fontId="6" fillId="5" borderId="13" xfId="0" applyNumberFormat="1" applyFont="1" applyFill="1" applyBorder="1" applyAlignment="1">
      <alignment vertical="center"/>
    </xf>
    <xf numFmtId="0" fontId="0" fillId="0" borderId="0" xfId="0" applyAlignment="1">
      <alignment vertical="center"/>
    </xf>
    <xf numFmtId="3" fontId="6" fillId="0" borderId="0" xfId="0" applyNumberFormat="1" applyFont="1"/>
    <xf numFmtId="3" fontId="6" fillId="6" borderId="13" xfId="0" applyNumberFormat="1" applyFont="1" applyFill="1" applyBorder="1" applyAlignment="1">
      <alignment vertical="center"/>
    </xf>
    <xf numFmtId="3" fontId="23" fillId="7" borderId="13" xfId="0" applyNumberFormat="1" applyFont="1" applyFill="1" applyBorder="1" applyAlignment="1">
      <alignment vertical="center"/>
    </xf>
    <xf numFmtId="0" fontId="24" fillId="0" borderId="20" xfId="0" applyFont="1" applyBorder="1"/>
    <xf numFmtId="0" fontId="0" fillId="0" borderId="20" xfId="0" applyBorder="1"/>
    <xf numFmtId="0" fontId="24" fillId="0" borderId="0" xfId="0" applyFont="1"/>
    <xf numFmtId="0" fontId="19" fillId="2" borderId="0" xfId="0" applyFont="1" applyFill="1" applyAlignment="1">
      <alignment horizontal="left" vertical="center"/>
    </xf>
    <xf numFmtId="0" fontId="21" fillId="2" borderId="19" xfId="0" applyFont="1" applyFill="1" applyBorder="1" applyAlignment="1">
      <alignment horizontal="left" vertical="center"/>
    </xf>
    <xf numFmtId="0" fontId="21" fillId="2" borderId="0" xfId="0" applyFont="1" applyFill="1" applyAlignment="1">
      <alignment horizontal="left" vertical="center"/>
    </xf>
    <xf numFmtId="165" fontId="21" fillId="2" borderId="0" xfId="0" applyNumberFormat="1" applyFont="1" applyFill="1" applyAlignment="1">
      <alignment vertical="center"/>
    </xf>
    <xf numFmtId="0" fontId="13" fillId="0" borderId="21" xfId="0" applyFont="1" applyBorder="1" applyAlignment="1">
      <alignment horizontal="left"/>
    </xf>
    <xf numFmtId="165" fontId="13" fillId="0" borderId="0" xfId="0" applyNumberFormat="1" applyFont="1" applyAlignment="1">
      <alignment vertical="center"/>
    </xf>
    <xf numFmtId="0" fontId="21" fillId="3" borderId="19" xfId="0" applyFont="1" applyFill="1" applyBorder="1" applyAlignment="1">
      <alignment horizontal="left" vertical="center"/>
    </xf>
    <xf numFmtId="164" fontId="21" fillId="3" borderId="19" xfId="0" applyNumberFormat="1" applyFont="1" applyFill="1" applyBorder="1" applyAlignment="1">
      <alignment vertical="center"/>
    </xf>
    <xf numFmtId="0" fontId="21" fillId="3" borderId="0" xfId="0" applyFont="1" applyFill="1" applyAlignment="1">
      <alignment horizontal="left" vertical="center"/>
    </xf>
    <xf numFmtId="165" fontId="21" fillId="3" borderId="0" xfId="0" applyNumberFormat="1" applyFont="1" applyFill="1" applyAlignment="1">
      <alignment vertical="center"/>
    </xf>
    <xf numFmtId="0" fontId="21" fillId="4" borderId="22" xfId="0" applyFont="1" applyFill="1" applyBorder="1" applyAlignment="1">
      <alignment horizontal="left" vertical="center"/>
    </xf>
    <xf numFmtId="164" fontId="21" fillId="4" borderId="23" xfId="0" applyNumberFormat="1" applyFont="1" applyFill="1" applyBorder="1" applyAlignment="1">
      <alignment vertical="center"/>
    </xf>
    <xf numFmtId="0" fontId="21" fillId="4" borderId="24" xfId="0" applyFont="1" applyFill="1" applyBorder="1" applyAlignment="1">
      <alignment horizontal="left" vertical="center"/>
    </xf>
    <xf numFmtId="165" fontId="21" fillId="4" borderId="25" xfId="0" applyNumberFormat="1" applyFont="1" applyFill="1" applyBorder="1" applyAlignment="1">
      <alignment vertical="center"/>
    </xf>
    <xf numFmtId="0" fontId="19" fillId="4" borderId="24" xfId="0" applyFont="1" applyFill="1" applyBorder="1" applyAlignment="1">
      <alignment horizontal="left" vertical="center"/>
    </xf>
    <xf numFmtId="4" fontId="19" fillId="4" borderId="25" xfId="0" applyNumberFormat="1" applyFont="1" applyFill="1" applyBorder="1" applyAlignment="1">
      <alignment vertical="center"/>
    </xf>
    <xf numFmtId="3" fontId="14" fillId="0" borderId="0" xfId="0" applyNumberFormat="1" applyFont="1"/>
    <xf numFmtId="0" fontId="26" fillId="0" borderId="19" xfId="0" applyFont="1" applyBorder="1"/>
    <xf numFmtId="3" fontId="26" fillId="0" borderId="19" xfId="0" applyNumberFormat="1" applyFont="1" applyBorder="1"/>
    <xf numFmtId="3" fontId="14" fillId="0" borderId="19" xfId="0" applyNumberFormat="1" applyFont="1" applyBorder="1"/>
    <xf numFmtId="3" fontId="27" fillId="0" borderId="19" xfId="0" applyNumberFormat="1" applyFont="1" applyBorder="1"/>
    <xf numFmtId="164" fontId="26" fillId="0" borderId="19" xfId="0" applyNumberFormat="1" applyFont="1" applyBorder="1"/>
    <xf numFmtId="168" fontId="0" fillId="0" borderId="0" xfId="0" applyNumberFormat="1"/>
    <xf numFmtId="0" fontId="26" fillId="0" borderId="0" xfId="0" applyFont="1"/>
    <xf numFmtId="168" fontId="26" fillId="0" borderId="0" xfId="0" applyNumberFormat="1" applyFont="1"/>
    <xf numFmtId="0" fontId="0" fillId="0" borderId="0" xfId="0" pivotButton="1"/>
    <xf numFmtId="0" fontId="8" fillId="0" borderId="0" xfId="4" applyFont="1"/>
    <xf numFmtId="0" fontId="28" fillId="0" borderId="0" xfId="4"/>
    <xf numFmtId="0" fontId="28" fillId="2" borderId="15" xfId="4" applyFill="1" applyBorder="1"/>
    <xf numFmtId="0" fontId="28" fillId="2" borderId="16" xfId="4" applyFill="1" applyBorder="1"/>
    <xf numFmtId="0" fontId="28" fillId="2" borderId="17" xfId="4" applyFill="1" applyBorder="1"/>
    <xf numFmtId="0" fontId="28" fillId="2" borderId="6" xfId="4" applyFill="1" applyBorder="1"/>
    <xf numFmtId="0" fontId="28" fillId="2" borderId="7" xfId="4" applyFill="1" applyBorder="1"/>
    <xf numFmtId="0" fontId="28" fillId="2" borderId="12" xfId="4" applyFill="1" applyBorder="1"/>
    <xf numFmtId="0" fontId="28" fillId="2" borderId="13" xfId="4" applyFill="1" applyBorder="1"/>
    <xf numFmtId="0" fontId="28" fillId="2" borderId="14" xfId="4" applyFill="1" applyBorder="1"/>
    <xf numFmtId="0" fontId="29" fillId="0" borderId="0" xfId="4" applyFont="1"/>
    <xf numFmtId="0" fontId="29" fillId="0" borderId="0" xfId="4" applyFont="1" applyAlignment="1">
      <alignment horizontal="center"/>
    </xf>
    <xf numFmtId="1" fontId="28" fillId="0" borderId="0" xfId="4" applyNumberFormat="1"/>
    <xf numFmtId="170" fontId="0" fillId="0" borderId="0" xfId="5" applyNumberFormat="1" applyFont="1"/>
    <xf numFmtId="2" fontId="28" fillId="0" borderId="0" xfId="4" applyNumberFormat="1"/>
    <xf numFmtId="9" fontId="0" fillId="0" borderId="0" xfId="6" applyFont="1"/>
    <xf numFmtId="0" fontId="30" fillId="0" borderId="0" xfId="4" applyFont="1"/>
    <xf numFmtId="0" fontId="31" fillId="0" borderId="0" xfId="4" applyFont="1"/>
    <xf numFmtId="0" fontId="28" fillId="2" borderId="0" xfId="4" applyFill="1"/>
    <xf numFmtId="0" fontId="28" fillId="0" borderId="0" xfId="4" applyAlignment="1">
      <alignment horizontal="right"/>
    </xf>
    <xf numFmtId="173" fontId="28" fillId="0" borderId="0" xfId="1" applyNumberFormat="1" applyFont="1"/>
    <xf numFmtId="167" fontId="28" fillId="0" borderId="0" xfId="4" applyNumberFormat="1"/>
    <xf numFmtId="0" fontId="15" fillId="5" borderId="31" xfId="0" applyFont="1" applyFill="1" applyBorder="1"/>
    <xf numFmtId="14" fontId="15" fillId="5" borderId="31" xfId="0" applyNumberFormat="1" applyFont="1" applyFill="1" applyBorder="1"/>
    <xf numFmtId="173" fontId="5" fillId="0" borderId="31" xfId="9" applyNumberFormat="1" applyFont="1" applyBorder="1"/>
    <xf numFmtId="0" fontId="15" fillId="0" borderId="31" xfId="0" applyFont="1" applyBorder="1" applyAlignment="1">
      <alignment horizontal="left"/>
    </xf>
    <xf numFmtId="173" fontId="15" fillId="0" borderId="31" xfId="9" applyNumberFormat="1" applyFont="1" applyBorder="1"/>
    <xf numFmtId="173" fontId="15" fillId="5" borderId="31" xfId="9" applyNumberFormat="1" applyFont="1" applyFill="1" applyBorder="1"/>
    <xf numFmtId="0" fontId="5" fillId="0" borderId="0" xfId="4" applyFont="1"/>
    <xf numFmtId="0" fontId="5" fillId="0" borderId="31" xfId="0" applyFont="1" applyBorder="1" applyAlignment="1">
      <alignment horizontal="left"/>
    </xf>
    <xf numFmtId="0" fontId="33" fillId="0" borderId="31" xfId="0" applyFont="1" applyBorder="1"/>
    <xf numFmtId="0" fontId="0" fillId="0" borderId="31" xfId="0" applyBorder="1"/>
    <xf numFmtId="173" fontId="0" fillId="0" borderId="31" xfId="1" applyNumberFormat="1" applyFont="1" applyBorder="1"/>
    <xf numFmtId="0" fontId="0" fillId="20" borderId="31" xfId="0" applyFill="1" applyBorder="1"/>
    <xf numFmtId="0" fontId="33" fillId="20" borderId="31" xfId="0" applyFont="1" applyFill="1" applyBorder="1"/>
    <xf numFmtId="0" fontId="26" fillId="0" borderId="0" xfId="4" applyFont="1"/>
    <xf numFmtId="173" fontId="34" fillId="0" borderId="31" xfId="1" applyNumberFormat="1" applyFont="1" applyFill="1" applyBorder="1" applyAlignment="1">
      <alignment horizontal="right" vertical="center"/>
    </xf>
    <xf numFmtId="0" fontId="33" fillId="21" borderId="31" xfId="0" applyFont="1" applyFill="1" applyBorder="1"/>
    <xf numFmtId="173" fontId="34" fillId="21" borderId="31" xfId="1" applyNumberFormat="1" applyFont="1" applyFill="1" applyBorder="1" applyAlignment="1">
      <alignment horizontal="right" vertical="center"/>
    </xf>
    <xf numFmtId="0" fontId="33" fillId="22" borderId="31" xfId="0" applyFont="1" applyFill="1" applyBorder="1"/>
    <xf numFmtId="173" fontId="34" fillId="22" borderId="31" xfId="1" applyNumberFormat="1" applyFont="1" applyFill="1" applyBorder="1" applyAlignment="1">
      <alignment horizontal="right" vertical="center"/>
    </xf>
    <xf numFmtId="173" fontId="0" fillId="22" borderId="31" xfId="1" applyNumberFormat="1" applyFont="1" applyFill="1" applyBorder="1"/>
    <xf numFmtId="173" fontId="0" fillId="21" borderId="31" xfId="1" applyNumberFormat="1" applyFont="1" applyFill="1" applyBorder="1"/>
    <xf numFmtId="0" fontId="29" fillId="2" borderId="0" xfId="4" applyFont="1" applyFill="1"/>
    <xf numFmtId="43" fontId="28" fillId="0" borderId="0" xfId="4" applyNumberFormat="1"/>
    <xf numFmtId="173" fontId="29" fillId="0" borderId="2" xfId="1" applyNumberFormat="1" applyFont="1" applyBorder="1"/>
    <xf numFmtId="0" fontId="28" fillId="0" borderId="32" xfId="4" applyBorder="1"/>
    <xf numFmtId="0" fontId="29" fillId="0" borderId="33" xfId="4" applyFont="1" applyBorder="1"/>
    <xf numFmtId="173" fontId="28" fillId="0" borderId="0" xfId="1" applyNumberFormat="1" applyFont="1" applyBorder="1"/>
    <xf numFmtId="0" fontId="15" fillId="23" borderId="34" xfId="0" applyFont="1" applyFill="1" applyBorder="1"/>
    <xf numFmtId="173" fontId="29" fillId="23" borderId="35" xfId="1" applyNumberFormat="1" applyFont="1" applyFill="1" applyBorder="1"/>
    <xf numFmtId="170" fontId="28" fillId="0" borderId="7" xfId="4" applyNumberFormat="1" applyBorder="1"/>
    <xf numFmtId="170" fontId="29" fillId="0" borderId="11" xfId="1" applyNumberFormat="1" applyFont="1" applyBorder="1"/>
    <xf numFmtId="170" fontId="28" fillId="0" borderId="7" xfId="1" applyNumberFormat="1" applyFont="1" applyBorder="1"/>
    <xf numFmtId="170" fontId="29" fillId="23" borderId="36" xfId="1" applyNumberFormat="1" applyFont="1" applyFill="1" applyBorder="1"/>
    <xf numFmtId="173" fontId="28" fillId="0" borderId="6" xfId="1" applyNumberFormat="1" applyFont="1" applyBorder="1"/>
    <xf numFmtId="173" fontId="29" fillId="0" borderId="10" xfId="1" applyNumberFormat="1" applyFont="1" applyBorder="1"/>
    <xf numFmtId="173" fontId="29" fillId="23" borderId="37" xfId="1" applyNumberFormat="1" applyFont="1" applyFill="1" applyBorder="1"/>
    <xf numFmtId="0" fontId="35" fillId="2" borderId="27" xfId="4" applyFont="1" applyFill="1" applyBorder="1" applyAlignment="1">
      <alignment horizontal="center"/>
    </xf>
    <xf numFmtId="170" fontId="28" fillId="0" borderId="6" xfId="4" applyNumberFormat="1" applyBorder="1"/>
    <xf numFmtId="170" fontId="29" fillId="0" borderId="10" xfId="1" applyNumberFormat="1" applyFont="1" applyBorder="1"/>
    <xf numFmtId="170" fontId="28" fillId="0" borderId="6" xfId="1" applyNumberFormat="1" applyFont="1" applyBorder="1"/>
    <xf numFmtId="170" fontId="29" fillId="23" borderId="37" xfId="1" applyNumberFormat="1" applyFont="1" applyFill="1" applyBorder="1"/>
    <xf numFmtId="0" fontId="36" fillId="0" borderId="27" xfId="0" applyFont="1" applyBorder="1" applyAlignment="1">
      <alignment vertical="center"/>
    </xf>
    <xf numFmtId="0" fontId="36" fillId="0" borderId="30" xfId="0" applyFont="1" applyBorder="1" applyAlignment="1">
      <alignment vertical="center"/>
    </xf>
    <xf numFmtId="14" fontId="36" fillId="0" borderId="38" xfId="0" applyNumberFormat="1" applyFont="1" applyBorder="1" applyAlignment="1">
      <alignment vertical="center"/>
    </xf>
    <xf numFmtId="173" fontId="36" fillId="0" borderId="14" xfId="1" applyNumberFormat="1" applyFont="1" applyBorder="1" applyAlignment="1">
      <alignment vertical="center"/>
    </xf>
    <xf numFmtId="14" fontId="15" fillId="23" borderId="1" xfId="0" applyNumberFormat="1" applyFont="1" applyFill="1" applyBorder="1" applyAlignment="1">
      <alignment horizontal="center"/>
    </xf>
    <xf numFmtId="0" fontId="15" fillId="23" borderId="39" xfId="0" applyFont="1" applyFill="1" applyBorder="1" applyAlignment="1">
      <alignment horizontal="center"/>
    </xf>
    <xf numFmtId="14" fontId="15" fillId="23" borderId="8" xfId="0" applyNumberFormat="1" applyFont="1" applyFill="1" applyBorder="1" applyAlignment="1">
      <alignment horizontal="center"/>
    </xf>
    <xf numFmtId="14" fontId="15" fillId="23" borderId="9" xfId="0" applyNumberFormat="1" applyFont="1" applyFill="1" applyBorder="1" applyAlignment="1">
      <alignment horizontal="center"/>
    </xf>
    <xf numFmtId="178" fontId="38" fillId="0" borderId="40" xfId="1" applyNumberFormat="1" applyFont="1" applyFill="1" applyBorder="1"/>
    <xf numFmtId="0" fontId="41" fillId="25" borderId="0" xfId="11" applyFont="1" applyFill="1" applyAlignment="1">
      <alignment horizontal="center" vertical="center" wrapText="1"/>
    </xf>
    <xf numFmtId="0" fontId="41" fillId="25" borderId="0" xfId="11" applyFont="1" applyFill="1" applyAlignment="1">
      <alignment horizontal="left" vertical="center" wrapText="1"/>
    </xf>
    <xf numFmtId="177" fontId="41" fillId="25" borderId="0" xfId="11" applyNumberFormat="1" applyFont="1" applyFill="1" applyAlignment="1">
      <alignment horizontal="center" vertical="center" wrapText="1"/>
    </xf>
    <xf numFmtId="177" fontId="41" fillId="26" borderId="0" xfId="11" applyNumberFormat="1" applyFont="1" applyFill="1" applyAlignment="1">
      <alignment horizontal="center" vertical="center" wrapText="1"/>
    </xf>
    <xf numFmtId="0" fontId="41" fillId="0" borderId="0" xfId="11" applyFont="1" applyAlignment="1">
      <alignment horizontal="center" vertical="center" wrapText="1"/>
    </xf>
    <xf numFmtId="0" fontId="42" fillId="0" borderId="0" xfId="0" applyFont="1"/>
    <xf numFmtId="178" fontId="43" fillId="0" borderId="40" xfId="1" applyNumberFormat="1" applyFont="1" applyFill="1" applyBorder="1" applyAlignment="1">
      <alignment horizontal="right"/>
    </xf>
    <xf numFmtId="178" fontId="43" fillId="0" borderId="40" xfId="1" applyNumberFormat="1" applyFont="1" applyFill="1" applyBorder="1" applyAlignment="1">
      <alignment horizontal="left"/>
    </xf>
    <xf numFmtId="178" fontId="43" fillId="0" borderId="40" xfId="1" applyNumberFormat="1" applyFont="1" applyFill="1" applyBorder="1"/>
    <xf numFmtId="0" fontId="43" fillId="27" borderId="0" xfId="12" applyFont="1" applyFill="1"/>
    <xf numFmtId="0" fontId="43" fillId="11" borderId="0" xfId="12" applyFont="1" applyFill="1"/>
    <xf numFmtId="178" fontId="43" fillId="20" borderId="40" xfId="1" applyNumberFormat="1" applyFont="1" applyFill="1" applyBorder="1"/>
    <xf numFmtId="0" fontId="43" fillId="0" borderId="0" xfId="12" applyFont="1"/>
    <xf numFmtId="178" fontId="44" fillId="0" borderId="0" xfId="1" applyNumberFormat="1" applyFont="1"/>
    <xf numFmtId="178" fontId="42" fillId="0" borderId="0" xfId="0" applyNumberFormat="1" applyFont="1"/>
    <xf numFmtId="0" fontId="45" fillId="0" borderId="0" xfId="0" applyFont="1"/>
    <xf numFmtId="178" fontId="45" fillId="0" borderId="0" xfId="0" applyNumberFormat="1" applyFont="1"/>
    <xf numFmtId="3" fontId="45" fillId="0" borderId="0" xfId="0" applyNumberFormat="1" applyFont="1"/>
    <xf numFmtId="178" fontId="46" fillId="3" borderId="0" xfId="0" applyNumberFormat="1" applyFont="1" applyFill="1"/>
    <xf numFmtId="178" fontId="43" fillId="0" borderId="0" xfId="1" applyNumberFormat="1" applyFont="1" applyFill="1" applyBorder="1" applyAlignment="1">
      <alignment horizontal="right"/>
    </xf>
    <xf numFmtId="178" fontId="43" fillId="0" borderId="0" xfId="1" applyNumberFormat="1" applyFont="1" applyFill="1" applyBorder="1" applyAlignment="1">
      <alignment horizontal="left"/>
    </xf>
    <xf numFmtId="178" fontId="43" fillId="0" borderId="0" xfId="1" applyNumberFormat="1" applyFont="1" applyFill="1" applyBorder="1"/>
    <xf numFmtId="0" fontId="47" fillId="0" borderId="0" xfId="0" applyFont="1" applyAlignment="1">
      <alignment vertical="center" wrapText="1"/>
    </xf>
    <xf numFmtId="178" fontId="45" fillId="11" borderId="0" xfId="0" applyNumberFormat="1" applyFont="1" applyFill="1"/>
    <xf numFmtId="173" fontId="0" fillId="0" borderId="0" xfId="1" applyNumberFormat="1" applyFont="1"/>
    <xf numFmtId="0" fontId="29" fillId="0" borderId="0" xfId="4" applyFont="1" applyAlignment="1">
      <alignment wrapText="1"/>
    </xf>
    <xf numFmtId="173" fontId="29" fillId="28" borderId="0" xfId="4" applyNumberFormat="1" applyFont="1" applyFill="1"/>
    <xf numFmtId="0" fontId="49" fillId="0" borderId="41" xfId="0" applyFont="1" applyBorder="1" applyAlignment="1">
      <alignment wrapText="1"/>
    </xf>
    <xf numFmtId="179" fontId="50" fillId="0" borderId="41" xfId="1" applyNumberFormat="1" applyFont="1" applyBorder="1" applyAlignment="1">
      <alignment wrapText="1"/>
    </xf>
    <xf numFmtId="0" fontId="51" fillId="0" borderId="0" xfId="7" applyFont="1" applyAlignment="1" applyProtection="1">
      <alignment horizontal="center"/>
    </xf>
    <xf numFmtId="0" fontId="51" fillId="0" borderId="0" xfId="7" applyFont="1" applyProtection="1"/>
    <xf numFmtId="172" fontId="51" fillId="0" borderId="0" xfId="8" applyNumberFormat="1" applyFont="1"/>
    <xf numFmtId="0" fontId="54" fillId="17" borderId="31" xfId="7" applyFont="1" applyFill="1" applyBorder="1" applyAlignment="1" applyProtection="1">
      <alignment horizontal="center" vertical="center" wrapText="1"/>
    </xf>
    <xf numFmtId="0" fontId="51" fillId="16" borderId="31" xfId="7" applyFont="1" applyFill="1" applyBorder="1" applyAlignment="1" applyProtection="1">
      <alignment horizontal="center" vertical="center" wrapText="1"/>
    </xf>
    <xf numFmtId="175" fontId="51" fillId="16" borderId="31" xfId="7" applyNumberFormat="1" applyFont="1" applyFill="1" applyBorder="1" applyAlignment="1" applyProtection="1">
      <alignment horizontal="center" vertical="center" wrapText="1"/>
    </xf>
    <xf numFmtId="0" fontId="51" fillId="16" borderId="31" xfId="7" applyFont="1" applyFill="1" applyBorder="1" applyAlignment="1" applyProtection="1">
      <alignment horizontal="center" vertical="center"/>
    </xf>
    <xf numFmtId="172" fontId="54" fillId="16" borderId="46" xfId="8" applyNumberFormat="1" applyFont="1" applyFill="1" applyBorder="1" applyAlignment="1">
      <alignment horizontal="center" vertical="center"/>
    </xf>
    <xf numFmtId="0" fontId="51" fillId="0" borderId="0" xfId="7" applyFont="1" applyAlignment="1" applyProtection="1">
      <alignment vertical="center"/>
    </xf>
    <xf numFmtId="174" fontId="51" fillId="0" borderId="0" xfId="7" applyNumberFormat="1" applyFont="1" applyAlignment="1" applyProtection="1">
      <alignment vertical="center"/>
    </xf>
    <xf numFmtId="0" fontId="51" fillId="18" borderId="31" xfId="7" applyFont="1" applyFill="1" applyBorder="1" applyAlignment="1" applyProtection="1">
      <alignment horizontal="center" vertical="center" wrapText="1"/>
    </xf>
    <xf numFmtId="175" fontId="51" fillId="18" borderId="31" xfId="7" applyNumberFormat="1" applyFont="1" applyFill="1" applyBorder="1" applyAlignment="1" applyProtection="1">
      <alignment horizontal="center" vertical="center" wrapText="1"/>
    </xf>
    <xf numFmtId="0" fontId="51" fillId="18" borderId="31" xfId="7" applyFont="1" applyFill="1" applyBorder="1" applyAlignment="1" applyProtection="1">
      <alignment horizontal="center" vertical="center"/>
    </xf>
    <xf numFmtId="0" fontId="54" fillId="15" borderId="31" xfId="7" applyFont="1" applyFill="1" applyBorder="1" applyAlignment="1" applyProtection="1">
      <alignment horizontal="center" vertical="center" wrapText="1"/>
    </xf>
    <xf numFmtId="0" fontId="51" fillId="14" borderId="31" xfId="7" applyFont="1" applyFill="1" applyBorder="1" applyAlignment="1" applyProtection="1">
      <alignment horizontal="center" vertical="center" wrapText="1"/>
    </xf>
    <xf numFmtId="175" fontId="51" fillId="14" borderId="31" xfId="7" applyNumberFormat="1" applyFont="1" applyFill="1" applyBorder="1" applyAlignment="1" applyProtection="1">
      <alignment horizontal="center" vertical="center" wrapText="1"/>
    </xf>
    <xf numFmtId="0" fontId="51" fillId="14" borderId="31" xfId="7" applyFont="1" applyFill="1" applyBorder="1" applyAlignment="1" applyProtection="1">
      <alignment horizontal="center" vertical="center"/>
    </xf>
    <xf numFmtId="172" fontId="54" fillId="14" borderId="42" xfId="8" applyNumberFormat="1" applyFont="1" applyFill="1" applyBorder="1" applyAlignment="1">
      <alignment horizontal="center" vertical="center"/>
    </xf>
    <xf numFmtId="172" fontId="54" fillId="14" borderId="45" xfId="8" applyNumberFormat="1" applyFont="1" applyFill="1" applyBorder="1" applyAlignment="1">
      <alignment horizontal="center" vertical="center"/>
    </xf>
    <xf numFmtId="172" fontId="54" fillId="14" borderId="46" xfId="8" applyNumberFormat="1" applyFont="1" applyFill="1" applyBorder="1" applyAlignment="1">
      <alignment horizontal="center" vertical="center"/>
    </xf>
    <xf numFmtId="0" fontId="54" fillId="13" borderId="31" xfId="7" applyFont="1" applyFill="1" applyBorder="1" applyAlignment="1" applyProtection="1">
      <alignment horizontal="center" vertical="center" wrapText="1"/>
    </xf>
    <xf numFmtId="0" fontId="51" fillId="12" borderId="31" xfId="7" applyFont="1" applyFill="1" applyBorder="1" applyAlignment="1" applyProtection="1">
      <alignment horizontal="center" vertical="center" wrapText="1"/>
    </xf>
    <xf numFmtId="175" fontId="51" fillId="12" borderId="31" xfId="7" applyNumberFormat="1" applyFont="1" applyFill="1" applyBorder="1" applyAlignment="1" applyProtection="1">
      <alignment horizontal="center" vertical="center" wrapText="1"/>
    </xf>
    <xf numFmtId="0" fontId="51" fillId="12" borderId="31" xfId="7" applyFont="1" applyFill="1" applyBorder="1" applyAlignment="1" applyProtection="1">
      <alignment horizontal="center" vertical="center"/>
    </xf>
    <xf numFmtId="172" fontId="54" fillId="12" borderId="42" xfId="8" applyNumberFormat="1" applyFont="1" applyFill="1" applyBorder="1" applyAlignment="1">
      <alignment horizontal="center" vertical="center"/>
    </xf>
    <xf numFmtId="172" fontId="54" fillId="12" borderId="45" xfId="8" applyNumberFormat="1" applyFont="1" applyFill="1" applyBorder="1" applyAlignment="1">
      <alignment horizontal="center" vertical="center"/>
    </xf>
    <xf numFmtId="172" fontId="54" fillId="12" borderId="46" xfId="8" applyNumberFormat="1" applyFont="1" applyFill="1" applyBorder="1" applyAlignment="1">
      <alignment horizontal="center" vertical="center"/>
    </xf>
    <xf numFmtId="172" fontId="54" fillId="12" borderId="47" xfId="8" applyNumberFormat="1" applyFont="1" applyFill="1" applyBorder="1" applyAlignment="1">
      <alignment horizontal="center" vertical="center"/>
    </xf>
    <xf numFmtId="172" fontId="54" fillId="12" borderId="48" xfId="8" applyNumberFormat="1" applyFont="1" applyFill="1" applyBorder="1" applyAlignment="1">
      <alignment horizontal="center" vertical="center"/>
    </xf>
    <xf numFmtId="0" fontId="51" fillId="24" borderId="0" xfId="7" applyFont="1" applyFill="1" applyAlignment="1" applyProtection="1">
      <alignment horizontal="center"/>
    </xf>
    <xf numFmtId="0" fontId="51" fillId="24" borderId="0" xfId="7" applyFont="1" applyFill="1" applyProtection="1"/>
    <xf numFmtId="172" fontId="51" fillId="24" borderId="0" xfId="8" applyNumberFormat="1" applyFont="1" applyFill="1"/>
    <xf numFmtId="179" fontId="51" fillId="0" borderId="0" xfId="7" applyNumberFormat="1" applyFont="1" applyProtection="1"/>
    <xf numFmtId="172" fontId="53" fillId="9" borderId="0" xfId="8" applyNumberFormat="1" applyFont="1" applyFill="1"/>
    <xf numFmtId="43" fontId="51" fillId="0" borderId="0" xfId="7" applyNumberFormat="1" applyFont="1" applyProtection="1"/>
    <xf numFmtId="172" fontId="51" fillId="0" borderId="0" xfId="7" applyNumberFormat="1" applyFont="1" applyProtection="1"/>
    <xf numFmtId="0" fontId="51" fillId="8" borderId="0" xfId="7" applyFont="1" applyFill="1" applyProtection="1"/>
    <xf numFmtId="172" fontId="54" fillId="8" borderId="0" xfId="8" applyNumberFormat="1" applyFont="1" applyFill="1" applyAlignment="1">
      <alignment horizontal="left" vertical="top"/>
    </xf>
    <xf numFmtId="172" fontId="54" fillId="8" borderId="0" xfId="8" applyNumberFormat="1" applyFont="1" applyFill="1"/>
    <xf numFmtId="172" fontId="53" fillId="8" borderId="0" xfId="8" applyNumberFormat="1" applyFont="1" applyFill="1"/>
    <xf numFmtId="172" fontId="54" fillId="9" borderId="0" xfId="8" applyNumberFormat="1" applyFont="1" applyFill="1"/>
    <xf numFmtId="172" fontId="54" fillId="0" borderId="0" xfId="8" applyNumberFormat="1" applyFont="1" applyAlignment="1">
      <alignment horizontal="left" vertical="top"/>
    </xf>
    <xf numFmtId="0" fontId="57" fillId="0" borderId="0" xfId="7" applyFont="1" applyProtection="1"/>
    <xf numFmtId="0" fontId="54" fillId="0" borderId="0" xfId="7" applyFont="1" applyAlignment="1" applyProtection="1">
      <alignment horizontal="center"/>
    </xf>
    <xf numFmtId="0" fontId="54" fillId="0" borderId="0" xfId="7" applyFont="1" applyProtection="1"/>
    <xf numFmtId="173" fontId="54" fillId="0" borderId="0" xfId="9" applyNumberFormat="1" applyFont="1" applyProtection="1"/>
    <xf numFmtId="173" fontId="51" fillId="0" borderId="0" xfId="7" applyNumberFormat="1" applyFont="1" applyProtection="1"/>
    <xf numFmtId="14" fontId="50" fillId="0" borderId="41" xfId="0" applyNumberFormat="1" applyFont="1" applyBorder="1" applyAlignment="1">
      <alignment horizontal="left" wrapText="1"/>
    </xf>
    <xf numFmtId="0" fontId="51" fillId="16" borderId="43" xfId="7" applyFont="1" applyFill="1" applyBorder="1" applyAlignment="1" applyProtection="1">
      <alignment horizontal="center" vertical="center" wrapText="1"/>
    </xf>
    <xf numFmtId="0" fontId="51" fillId="18" borderId="43" xfId="7" applyFont="1" applyFill="1" applyBorder="1" applyAlignment="1" applyProtection="1">
      <alignment horizontal="center" vertical="center" wrapText="1"/>
    </xf>
    <xf numFmtId="0" fontId="51" fillId="14" borderId="43" xfId="7" applyFont="1" applyFill="1" applyBorder="1" applyAlignment="1" applyProtection="1">
      <alignment horizontal="center" vertical="center" wrapText="1"/>
    </xf>
    <xf numFmtId="0" fontId="51" fillId="12" borderId="43" xfId="7" applyFont="1" applyFill="1" applyBorder="1" applyAlignment="1" applyProtection="1">
      <alignment horizontal="center" vertical="center" wrapText="1"/>
    </xf>
    <xf numFmtId="0" fontId="51" fillId="0" borderId="6" xfId="7" applyFont="1" applyBorder="1" applyAlignment="1" applyProtection="1">
      <alignment vertical="center"/>
    </xf>
    <xf numFmtId="0" fontId="51" fillId="0" borderId="7" xfId="7" applyFont="1" applyBorder="1" applyAlignment="1" applyProtection="1">
      <alignment vertical="center"/>
    </xf>
    <xf numFmtId="0" fontId="51" fillId="0" borderId="12" xfId="7" applyFont="1" applyBorder="1" applyAlignment="1" applyProtection="1">
      <alignment vertical="center"/>
    </xf>
    <xf numFmtId="0" fontId="51" fillId="0" borderId="14" xfId="7" applyFont="1" applyBorder="1" applyAlignment="1" applyProtection="1">
      <alignment vertical="center"/>
    </xf>
    <xf numFmtId="0" fontId="52" fillId="0" borderId="0" xfId="7" applyFont="1" applyProtection="1"/>
    <xf numFmtId="180" fontId="60" fillId="0" borderId="0" xfId="8" applyNumberFormat="1" applyFont="1" applyAlignment="1">
      <alignment horizontal="left" vertical="top"/>
    </xf>
    <xf numFmtId="180" fontId="60" fillId="9" borderId="0" xfId="8" applyNumberFormat="1" applyFont="1" applyFill="1"/>
    <xf numFmtId="0" fontId="52" fillId="8" borderId="0" xfId="7" applyFont="1" applyFill="1" applyProtection="1"/>
    <xf numFmtId="180" fontId="60" fillId="8" borderId="0" xfId="8" applyNumberFormat="1" applyFont="1" applyFill="1" applyAlignment="1">
      <alignment horizontal="left" vertical="top"/>
    </xf>
    <xf numFmtId="180" fontId="60" fillId="8" borderId="0" xfId="8" applyNumberFormat="1" applyFont="1" applyFill="1"/>
    <xf numFmtId="0" fontId="54" fillId="19" borderId="49" xfId="7" applyFont="1" applyFill="1" applyBorder="1" applyAlignment="1" applyProtection="1">
      <alignment horizontal="center" vertical="center" wrapText="1"/>
    </xf>
    <xf numFmtId="0" fontId="54" fillId="19" borderId="50" xfId="7" applyFont="1" applyFill="1" applyBorder="1" applyAlignment="1" applyProtection="1">
      <alignment horizontal="center" vertical="center" wrapText="1"/>
    </xf>
    <xf numFmtId="172" fontId="54" fillId="19" borderId="51" xfId="8" applyNumberFormat="1" applyFont="1" applyFill="1" applyBorder="1" applyAlignment="1">
      <alignment horizontal="center" vertical="center" wrapText="1"/>
    </xf>
    <xf numFmtId="172" fontId="54" fillId="19" borderId="49" xfId="8" applyNumberFormat="1" applyFont="1" applyFill="1" applyBorder="1" applyAlignment="1">
      <alignment horizontal="center" vertical="center" wrapText="1"/>
    </xf>
    <xf numFmtId="172" fontId="54" fillId="19" borderId="52" xfId="8" applyNumberFormat="1" applyFont="1" applyFill="1" applyBorder="1" applyAlignment="1">
      <alignment horizontal="center" vertical="center" wrapText="1"/>
    </xf>
    <xf numFmtId="0" fontId="54" fillId="19" borderId="53" xfId="7" applyFont="1" applyFill="1" applyBorder="1" applyAlignment="1" applyProtection="1">
      <alignment horizontal="center" vertical="center" wrapText="1"/>
    </xf>
    <xf numFmtId="0" fontId="54" fillId="19" borderId="52" xfId="7" applyFont="1" applyFill="1" applyBorder="1" applyAlignment="1" applyProtection="1">
      <alignment horizontal="center" vertical="center" wrapText="1"/>
    </xf>
    <xf numFmtId="0" fontId="54" fillId="17" borderId="54" xfId="7" applyFont="1" applyFill="1" applyBorder="1" applyAlignment="1" applyProtection="1">
      <alignment horizontal="center" vertical="center" wrapText="1"/>
    </xf>
    <xf numFmtId="0" fontId="54" fillId="17" borderId="55" xfId="7" applyFont="1" applyFill="1" applyBorder="1" applyAlignment="1" applyProtection="1">
      <alignment horizontal="center" vertical="center" wrapText="1"/>
    </xf>
    <xf numFmtId="0" fontId="51" fillId="16" borderId="55" xfId="7" applyFont="1" applyFill="1" applyBorder="1" applyAlignment="1" applyProtection="1">
      <alignment horizontal="center" vertical="center" wrapText="1"/>
    </xf>
    <xf numFmtId="175" fontId="51" fillId="16" borderId="55" xfId="7" applyNumberFormat="1" applyFont="1" applyFill="1" applyBorder="1" applyAlignment="1" applyProtection="1">
      <alignment horizontal="center" vertical="center" wrapText="1"/>
    </xf>
    <xf numFmtId="0" fontId="51" fillId="16" borderId="55" xfId="7" applyFont="1" applyFill="1" applyBorder="1" applyAlignment="1" applyProtection="1">
      <alignment horizontal="center" vertical="center"/>
    </xf>
    <xf numFmtId="172" fontId="54" fillId="16" borderId="57" xfId="8" applyNumberFormat="1" applyFont="1" applyFill="1" applyBorder="1" applyAlignment="1">
      <alignment horizontal="center" vertical="center"/>
    </xf>
    <xf numFmtId="0" fontId="51" fillId="16" borderId="58" xfId="7" applyFont="1" applyFill="1" applyBorder="1" applyAlignment="1" applyProtection="1">
      <alignment horizontal="center" vertical="center" wrapText="1"/>
    </xf>
    <xf numFmtId="14" fontId="51" fillId="16" borderId="57" xfId="7" applyNumberFormat="1" applyFont="1" applyFill="1" applyBorder="1" applyAlignment="1" applyProtection="1">
      <alignment horizontal="center" vertical="center" wrapText="1"/>
    </xf>
    <xf numFmtId="0" fontId="54" fillId="17" borderId="45" xfId="7" applyFont="1" applyFill="1" applyBorder="1" applyAlignment="1" applyProtection="1">
      <alignment horizontal="center" vertical="center" wrapText="1"/>
    </xf>
    <xf numFmtId="14" fontId="51" fillId="16" borderId="46" xfId="7" applyNumberFormat="1" applyFont="1" applyFill="1" applyBorder="1" applyAlignment="1" applyProtection="1">
      <alignment horizontal="center" vertical="center" wrapText="1"/>
    </xf>
    <xf numFmtId="14" fontId="51" fillId="18" borderId="46" xfId="7" applyNumberFormat="1" applyFont="1" applyFill="1" applyBorder="1" applyAlignment="1" applyProtection="1">
      <alignment horizontal="center" vertical="center" wrapText="1"/>
    </xf>
    <xf numFmtId="14" fontId="51" fillId="14" borderId="46" xfId="7" applyNumberFormat="1" applyFont="1" applyFill="1" applyBorder="1" applyAlignment="1" applyProtection="1">
      <alignment horizontal="center" vertical="center" wrapText="1"/>
    </xf>
    <xf numFmtId="0" fontId="54" fillId="13" borderId="61" xfId="7" applyFont="1" applyFill="1" applyBorder="1" applyAlignment="1" applyProtection="1">
      <alignment horizontal="center" vertical="center" wrapText="1"/>
    </xf>
    <xf numFmtId="0" fontId="51" fillId="12" borderId="61" xfId="7" applyFont="1" applyFill="1" applyBorder="1" applyAlignment="1" applyProtection="1">
      <alignment horizontal="center" vertical="center" wrapText="1"/>
    </xf>
    <xf numFmtId="175" fontId="51" fillId="12" borderId="61" xfId="7" applyNumberFormat="1" applyFont="1" applyFill="1" applyBorder="1" applyAlignment="1" applyProtection="1">
      <alignment horizontal="center" vertical="center" wrapText="1"/>
    </xf>
    <xf numFmtId="0" fontId="51" fillId="12" borderId="61" xfId="7" applyFont="1" applyFill="1" applyBorder="1" applyAlignment="1" applyProtection="1">
      <alignment horizontal="center" vertical="center"/>
    </xf>
    <xf numFmtId="172" fontId="54" fillId="12" borderId="62" xfId="8" applyNumberFormat="1" applyFont="1" applyFill="1" applyBorder="1" applyAlignment="1">
      <alignment horizontal="center" vertical="center"/>
    </xf>
    <xf numFmtId="0" fontId="51" fillId="12" borderId="63" xfId="7" applyFont="1" applyFill="1" applyBorder="1" applyAlignment="1" applyProtection="1">
      <alignment horizontal="center" vertical="center" wrapText="1"/>
    </xf>
    <xf numFmtId="173" fontId="29" fillId="0" borderId="0" xfId="4" applyNumberFormat="1" applyFont="1"/>
    <xf numFmtId="0" fontId="64" fillId="0" borderId="31" xfId="13" applyFont="1" applyBorder="1" applyAlignment="1">
      <alignment vertical="center"/>
    </xf>
    <xf numFmtId="0" fontId="65" fillId="0" borderId="0" xfId="4" applyFont="1"/>
    <xf numFmtId="179" fontId="66" fillId="0" borderId="41" xfId="1" applyNumberFormat="1" applyFont="1" applyBorder="1" applyAlignment="1">
      <alignment wrapText="1"/>
    </xf>
    <xf numFmtId="170" fontId="67" fillId="0" borderId="7" xfId="4" applyNumberFormat="1" applyFont="1" applyBorder="1"/>
    <xf numFmtId="0" fontId="68" fillId="0" borderId="0" xfId="4" applyFont="1"/>
    <xf numFmtId="0" fontId="28" fillId="30" borderId="65" xfId="4" applyFill="1" applyBorder="1"/>
    <xf numFmtId="0" fontId="28" fillId="30" borderId="66" xfId="4" applyFill="1" applyBorder="1"/>
    <xf numFmtId="0" fontId="28" fillId="30" borderId="67" xfId="4" applyFill="1" applyBorder="1"/>
    <xf numFmtId="0" fontId="28" fillId="30" borderId="26" xfId="4" applyFill="1" applyBorder="1"/>
    <xf numFmtId="0" fontId="28" fillId="30" borderId="0" xfId="4" applyFill="1"/>
    <xf numFmtId="0" fontId="28" fillId="30" borderId="68" xfId="4" applyFill="1" applyBorder="1"/>
    <xf numFmtId="0" fontId="30" fillId="30" borderId="26" xfId="4" applyFont="1" applyFill="1" applyBorder="1"/>
    <xf numFmtId="0" fontId="28" fillId="30" borderId="69" xfId="4" applyFill="1" applyBorder="1"/>
    <xf numFmtId="0" fontId="28" fillId="30" borderId="1" xfId="4" applyFill="1" applyBorder="1"/>
    <xf numFmtId="0" fontId="28" fillId="30" borderId="70" xfId="4" applyFill="1" applyBorder="1"/>
    <xf numFmtId="0" fontId="28" fillId="0" borderId="0" xfId="4" applyAlignment="1">
      <alignment horizontal="center" vertical="center" wrapText="1"/>
    </xf>
    <xf numFmtId="0" fontId="28" fillId="0" borderId="0" xfId="4" applyAlignment="1">
      <alignment wrapText="1"/>
    </xf>
    <xf numFmtId="0" fontId="30" fillId="0" borderId="64" xfId="14"/>
    <xf numFmtId="1" fontId="30" fillId="0" borderId="64" xfId="14" applyNumberFormat="1"/>
    <xf numFmtId="173" fontId="51" fillId="0" borderId="0" xfId="1" applyNumberFormat="1" applyFont="1" applyAlignment="1" applyProtection="1">
      <alignment vertical="center"/>
    </xf>
    <xf numFmtId="0" fontId="0" fillId="11" borderId="0" xfId="0" applyFill="1"/>
    <xf numFmtId="0" fontId="70" fillId="0" borderId="0" xfId="15" applyFont="1"/>
    <xf numFmtId="0" fontId="69" fillId="0" borderId="0" xfId="15"/>
    <xf numFmtId="0" fontId="69" fillId="25" borderId="65" xfId="15" applyFill="1" applyBorder="1"/>
    <xf numFmtId="0" fontId="69" fillId="25" borderId="66" xfId="15" applyFill="1" applyBorder="1"/>
    <xf numFmtId="0" fontId="71" fillId="25" borderId="26" xfId="15" applyFont="1" applyFill="1" applyBorder="1"/>
    <xf numFmtId="0" fontId="69" fillId="25" borderId="0" xfId="15" applyFill="1"/>
    <xf numFmtId="0" fontId="69" fillId="24" borderId="26" xfId="15" applyFill="1" applyBorder="1"/>
    <xf numFmtId="0" fontId="69" fillId="25" borderId="26" xfId="15" applyFill="1" applyBorder="1"/>
    <xf numFmtId="0" fontId="71" fillId="0" borderId="0" xfId="15" applyFont="1" applyAlignment="1">
      <alignment horizontal="center"/>
    </xf>
    <xf numFmtId="9" fontId="69" fillId="0" borderId="0" xfId="16" applyFont="1"/>
    <xf numFmtId="182" fontId="69" fillId="0" borderId="0" xfId="17" applyNumberFormat="1" applyFont="1"/>
    <xf numFmtId="0" fontId="71" fillId="0" borderId="0" xfId="15" applyFont="1"/>
    <xf numFmtId="0" fontId="71" fillId="0" borderId="0" xfId="15" applyFont="1" applyAlignment="1">
      <alignment wrapText="1"/>
    </xf>
    <xf numFmtId="0" fontId="69" fillId="0" borderId="0" xfId="15" applyAlignment="1">
      <alignment horizontal="center" vertical="center" wrapText="1"/>
    </xf>
    <xf numFmtId="0" fontId="72" fillId="0" borderId="0" xfId="15" applyFont="1" applyAlignment="1">
      <alignment horizontal="center" vertical="center" wrapText="1"/>
    </xf>
    <xf numFmtId="0" fontId="69" fillId="0" borderId="0" xfId="15" applyAlignment="1">
      <alignment vertical="center" wrapText="1"/>
    </xf>
    <xf numFmtId="10" fontId="69" fillId="0" borderId="0" xfId="18" applyNumberFormat="1" applyFont="1"/>
    <xf numFmtId="182" fontId="69" fillId="0" borderId="0" xfId="15" applyNumberFormat="1"/>
    <xf numFmtId="0" fontId="78" fillId="0" borderId="0" xfId="15" applyFont="1"/>
    <xf numFmtId="0" fontId="79" fillId="34" borderId="0" xfId="15" applyFont="1" applyFill="1" applyAlignment="1">
      <alignment horizontal="center" vertical="center"/>
    </xf>
    <xf numFmtId="182" fontId="80" fillId="0" borderId="0" xfId="15" applyNumberFormat="1" applyFont="1"/>
    <xf numFmtId="182" fontId="81" fillId="0" borderId="0" xfId="15" applyNumberFormat="1" applyFont="1"/>
    <xf numFmtId="9" fontId="69" fillId="0" borderId="0" xfId="18" applyFont="1"/>
    <xf numFmtId="9" fontId="69" fillId="0" borderId="0" xfId="18" applyFont="1" applyBorder="1" applyAlignment="1">
      <alignment horizontal="right"/>
    </xf>
    <xf numFmtId="0" fontId="73" fillId="31" borderId="0" xfId="15" applyFont="1" applyFill="1" applyAlignment="1">
      <alignment vertical="center" wrapText="1"/>
    </xf>
    <xf numFmtId="0" fontId="72" fillId="0" borderId="0" xfId="15" applyFont="1"/>
    <xf numFmtId="0" fontId="82" fillId="0" borderId="0" xfId="15" applyFont="1"/>
    <xf numFmtId="173" fontId="69" fillId="0" borderId="0" xfId="1" applyNumberFormat="1" applyFont="1"/>
    <xf numFmtId="173" fontId="69" fillId="0" borderId="0" xfId="15" applyNumberFormat="1"/>
    <xf numFmtId="173" fontId="72" fillId="0" borderId="0" xfId="1" applyNumberFormat="1" applyFont="1"/>
    <xf numFmtId="0" fontId="26" fillId="0" borderId="27" xfId="0" applyFont="1" applyBorder="1"/>
    <xf numFmtId="0" fontId="26" fillId="0" borderId="28" xfId="0" applyFont="1" applyBorder="1"/>
    <xf numFmtId="0" fontId="26" fillId="0" borderId="30" xfId="0" applyFont="1" applyBorder="1"/>
    <xf numFmtId="0" fontId="26" fillId="0" borderId="16" xfId="0" applyFont="1" applyBorder="1"/>
    <xf numFmtId="0" fontId="26" fillId="0" borderId="32" xfId="0" applyFont="1" applyBorder="1"/>
    <xf numFmtId="188" fontId="26" fillId="0" borderId="0" xfId="0" applyNumberFormat="1" applyFont="1"/>
    <xf numFmtId="188" fontId="26" fillId="0" borderId="7" xfId="1" applyNumberFormat="1" applyFont="1" applyBorder="1"/>
    <xf numFmtId="0" fontId="26" fillId="0" borderId="6" xfId="0" applyFont="1" applyBorder="1"/>
    <xf numFmtId="0" fontId="88" fillId="0" borderId="0" xfId="0" applyFont="1"/>
    <xf numFmtId="0" fontId="88" fillId="0" borderId="7" xfId="0" applyFont="1" applyBorder="1"/>
    <xf numFmtId="0" fontId="88" fillId="0" borderId="8" xfId="0" applyFont="1" applyBorder="1"/>
    <xf numFmtId="0" fontId="88" fillId="0" borderId="1" xfId="0" applyFont="1" applyBorder="1"/>
    <xf numFmtId="0" fontId="88" fillId="0" borderId="9" xfId="0" applyFont="1" applyBorder="1"/>
    <xf numFmtId="0" fontId="88" fillId="0" borderId="0" xfId="0" quotePrefix="1" applyFont="1"/>
    <xf numFmtId="0" fontId="26" fillId="0" borderId="75" xfId="0" applyFont="1" applyBorder="1"/>
    <xf numFmtId="0" fontId="26" fillId="0" borderId="76" xfId="0" applyFont="1" applyBorder="1"/>
    <xf numFmtId="0" fontId="26" fillId="0" borderId="77" xfId="0" applyFont="1" applyBorder="1"/>
    <xf numFmtId="0" fontId="26" fillId="0" borderId="78" xfId="0" applyFont="1" applyBorder="1"/>
    <xf numFmtId="0" fontId="26" fillId="0" borderId="79" xfId="0" applyFont="1" applyBorder="1"/>
    <xf numFmtId="0" fontId="26" fillId="0" borderId="80" xfId="0" applyFont="1" applyBorder="1"/>
    <xf numFmtId="0" fontId="26" fillId="0" borderId="81" xfId="0" applyFont="1" applyBorder="1"/>
    <xf numFmtId="0" fontId="26" fillId="0" borderId="82" xfId="0" applyFont="1" applyBorder="1"/>
    <xf numFmtId="0" fontId="26" fillId="0" borderId="83" xfId="0" applyFont="1" applyBorder="1"/>
    <xf numFmtId="0" fontId="90" fillId="38" borderId="73" xfId="0" applyFont="1" applyFill="1" applyBorder="1" applyAlignment="1">
      <alignment horizontal="left"/>
    </xf>
    <xf numFmtId="3" fontId="90" fillId="38" borderId="73" xfId="0" applyNumberFormat="1" applyFont="1" applyFill="1" applyBorder="1"/>
    <xf numFmtId="0" fontId="90" fillId="41" borderId="73" xfId="0" applyFont="1" applyFill="1" applyBorder="1" applyAlignment="1">
      <alignment horizontal="left"/>
    </xf>
    <xf numFmtId="3" fontId="90" fillId="41" borderId="73" xfId="0" applyNumberFormat="1" applyFont="1" applyFill="1" applyBorder="1"/>
    <xf numFmtId="0" fontId="90" fillId="38" borderId="22" xfId="0" applyFont="1" applyFill="1" applyBorder="1" applyAlignment="1">
      <alignment horizontal="left"/>
    </xf>
    <xf numFmtId="3" fontId="90" fillId="38" borderId="23" xfId="0" applyNumberFormat="1" applyFont="1" applyFill="1" applyBorder="1"/>
    <xf numFmtId="0" fontId="90" fillId="38" borderId="24" xfId="0" applyFont="1" applyFill="1" applyBorder="1" applyAlignment="1">
      <alignment horizontal="left"/>
    </xf>
    <xf numFmtId="3" fontId="90" fillId="38" borderId="25" xfId="0" applyNumberFormat="1" applyFont="1" applyFill="1" applyBorder="1"/>
    <xf numFmtId="0" fontId="90" fillId="40" borderId="73" xfId="0" applyFont="1" applyFill="1" applyBorder="1" applyAlignment="1">
      <alignment horizontal="left"/>
    </xf>
    <xf numFmtId="164" fontId="90" fillId="40" borderId="73" xfId="0" applyNumberFormat="1" applyFont="1" applyFill="1" applyBorder="1"/>
    <xf numFmtId="164" fontId="90" fillId="41" borderId="73" xfId="0" applyNumberFormat="1" applyFont="1" applyFill="1" applyBorder="1"/>
    <xf numFmtId="164" fontId="90" fillId="38" borderId="23" xfId="0" applyNumberFormat="1" applyFont="1" applyFill="1" applyBorder="1"/>
    <xf numFmtId="0" fontId="90" fillId="4" borderId="73" xfId="0" applyFont="1" applyFill="1" applyBorder="1" applyAlignment="1">
      <alignment horizontal="left"/>
    </xf>
    <xf numFmtId="164" fontId="90" fillId="4" borderId="73" xfId="0" applyNumberFormat="1" applyFont="1" applyFill="1" applyBorder="1"/>
    <xf numFmtId="0" fontId="91" fillId="0" borderId="38" xfId="0" applyFont="1" applyBorder="1"/>
    <xf numFmtId="188" fontId="91" fillId="0" borderId="13" xfId="0" applyNumberFormat="1" applyFont="1" applyBorder="1"/>
    <xf numFmtId="188" fontId="91" fillId="0" borderId="14" xfId="0" applyNumberFormat="1" applyFont="1" applyBorder="1"/>
    <xf numFmtId="0" fontId="90" fillId="38" borderId="84" xfId="0" applyFont="1" applyFill="1" applyBorder="1" applyAlignment="1">
      <alignment horizontal="left"/>
    </xf>
    <xf numFmtId="164" fontId="90" fillId="38" borderId="85" xfId="0" applyNumberFormat="1" applyFont="1" applyFill="1" applyBorder="1"/>
    <xf numFmtId="9" fontId="88" fillId="0" borderId="0" xfId="2" applyFont="1"/>
    <xf numFmtId="0" fontId="90" fillId="4" borderId="74" xfId="0" applyFont="1" applyFill="1" applyBorder="1" applyAlignment="1">
      <alignment horizontal="left"/>
    </xf>
    <xf numFmtId="165" fontId="90" fillId="4" borderId="74" xfId="0" applyNumberFormat="1" applyFont="1" applyFill="1" applyBorder="1"/>
    <xf numFmtId="0" fontId="90" fillId="41" borderId="74" xfId="0" applyFont="1" applyFill="1" applyBorder="1" applyAlignment="1">
      <alignment horizontal="left"/>
    </xf>
    <xf numFmtId="165" fontId="90" fillId="41" borderId="74" xfId="0" applyNumberFormat="1" applyFont="1" applyFill="1" applyBorder="1"/>
    <xf numFmtId="165" fontId="90" fillId="38" borderId="25" xfId="0" applyNumberFormat="1" applyFont="1" applyFill="1" applyBorder="1"/>
    <xf numFmtId="9" fontId="92" fillId="0" borderId="0" xfId="2" applyFont="1"/>
    <xf numFmtId="0" fontId="90" fillId="39" borderId="84" xfId="0" applyFont="1" applyFill="1" applyBorder="1" applyAlignment="1">
      <alignment horizontal="left"/>
    </xf>
    <xf numFmtId="3" fontId="90" fillId="39" borderId="85" xfId="0" applyNumberFormat="1" applyFont="1" applyFill="1" applyBorder="1"/>
    <xf numFmtId="9" fontId="92" fillId="0" borderId="0" xfId="55" applyNumberFormat="1" applyFont="1"/>
    <xf numFmtId="164" fontId="90" fillId="39" borderId="85" xfId="0" applyNumberFormat="1" applyFont="1" applyFill="1" applyBorder="1"/>
    <xf numFmtId="0" fontId="92" fillId="0" borderId="0" xfId="55" applyFont="1"/>
    <xf numFmtId="188" fontId="92" fillId="0" borderId="0" xfId="55" applyNumberFormat="1" applyFont="1"/>
    <xf numFmtId="0" fontId="90" fillId="0" borderId="22" xfId="0" applyFont="1" applyBorder="1" applyAlignment="1">
      <alignment horizontal="left"/>
    </xf>
    <xf numFmtId="164" fontId="90" fillId="0" borderId="23" xfId="0" applyNumberFormat="1" applyFont="1" applyBorder="1"/>
    <xf numFmtId="0" fontId="90" fillId="0" borderId="24" xfId="0" applyFont="1" applyBorder="1" applyAlignment="1">
      <alignment horizontal="left"/>
    </xf>
    <xf numFmtId="165" fontId="90" fillId="0" borderId="25" xfId="0" applyNumberFormat="1" applyFont="1" applyBorder="1"/>
    <xf numFmtId="0" fontId="90" fillId="4" borderId="84" xfId="0" applyFont="1" applyFill="1" applyBorder="1" applyAlignment="1">
      <alignment horizontal="left"/>
    </xf>
    <xf numFmtId="164" fontId="90" fillId="4" borderId="85" xfId="0" applyNumberFormat="1" applyFont="1" applyFill="1" applyBorder="1"/>
    <xf numFmtId="0" fontId="90" fillId="4" borderId="24" xfId="0" applyFont="1" applyFill="1" applyBorder="1" applyAlignment="1">
      <alignment horizontal="left"/>
    </xf>
    <xf numFmtId="165" fontId="90" fillId="4" borderId="25" xfId="0" applyNumberFormat="1" applyFont="1" applyFill="1" applyBorder="1"/>
    <xf numFmtId="0" fontId="90" fillId="41" borderId="84" xfId="0" applyFont="1" applyFill="1" applyBorder="1" applyAlignment="1">
      <alignment horizontal="left"/>
    </xf>
    <xf numFmtId="164" fontId="90" fillId="41" borderId="85" xfId="0" applyNumberFormat="1" applyFont="1" applyFill="1" applyBorder="1"/>
    <xf numFmtId="0" fontId="90" fillId="41" borderId="24" xfId="0" applyFont="1" applyFill="1" applyBorder="1" applyAlignment="1">
      <alignment horizontal="left"/>
    </xf>
    <xf numFmtId="165" fontId="90" fillId="41" borderId="25" xfId="0" applyNumberFormat="1" applyFont="1" applyFill="1" applyBorder="1"/>
    <xf numFmtId="170" fontId="0" fillId="0" borderId="0" xfId="0" applyNumberFormat="1"/>
    <xf numFmtId="9" fontId="0" fillId="0" borderId="0" xfId="2" applyFont="1"/>
    <xf numFmtId="179" fontId="66" fillId="0" borderId="86" xfId="1" applyNumberFormat="1" applyFont="1" applyBorder="1" applyAlignment="1">
      <alignment wrapText="1"/>
    </xf>
    <xf numFmtId="0" fontId="28" fillId="0" borderId="15" xfId="4" applyBorder="1"/>
    <xf numFmtId="0" fontId="28" fillId="0" borderId="16" xfId="4" applyBorder="1"/>
    <xf numFmtId="0" fontId="28" fillId="0" borderId="17" xfId="4" applyBorder="1"/>
    <xf numFmtId="0" fontId="28" fillId="0" borderId="6" xfId="4" applyBorder="1"/>
    <xf numFmtId="0" fontId="28" fillId="0" borderId="7" xfId="4" applyBorder="1"/>
    <xf numFmtId="0" fontId="28" fillId="0" borderId="12" xfId="4" applyBorder="1"/>
    <xf numFmtId="0" fontId="28" fillId="0" borderId="13" xfId="4" applyBorder="1"/>
    <xf numFmtId="0" fontId="28" fillId="0" borderId="14" xfId="4" applyBorder="1"/>
    <xf numFmtId="0" fontId="51" fillId="0" borderId="0" xfId="7" applyFont="1" applyBorder="1" applyAlignment="1" applyProtection="1">
      <alignment vertical="center"/>
    </xf>
    <xf numFmtId="0" fontId="51" fillId="0" borderId="0" xfId="7" applyFont="1" applyBorder="1" applyAlignment="1" applyProtection="1">
      <alignment horizontal="center" vertical="center"/>
    </xf>
    <xf numFmtId="49" fontId="58" fillId="0" borderId="0" xfId="8" applyNumberFormat="1" applyFont="1" applyBorder="1" applyAlignment="1">
      <alignment horizontal="right" vertical="center"/>
    </xf>
    <xf numFmtId="172" fontId="54" fillId="0" borderId="0" xfId="8" applyNumberFormat="1" applyFont="1" applyBorder="1" applyAlignment="1">
      <alignment vertical="center"/>
    </xf>
    <xf numFmtId="0" fontId="56" fillId="0" borderId="0" xfId="7" applyFont="1" applyBorder="1" applyAlignment="1" applyProtection="1">
      <alignment horizontal="left" vertical="center" wrapText="1"/>
    </xf>
    <xf numFmtId="0" fontId="96" fillId="0" borderId="0" xfId="20" applyFont="1" applyAlignment="1">
      <alignment vertical="center"/>
    </xf>
    <xf numFmtId="3" fontId="96" fillId="0" borderId="0" xfId="20" applyNumberFormat="1" applyFont="1" applyAlignment="1">
      <alignment vertical="center"/>
    </xf>
    <xf numFmtId="3" fontId="97" fillId="0" borderId="72" xfId="20" applyNumberFormat="1" applyFont="1" applyBorder="1" applyAlignment="1">
      <alignment vertical="center"/>
    </xf>
    <xf numFmtId="3" fontId="97" fillId="36" borderId="71" xfId="20" applyNumberFormat="1" applyFont="1" applyFill="1" applyBorder="1" applyAlignment="1">
      <alignment vertical="center"/>
    </xf>
    <xf numFmtId="0" fontId="96" fillId="37" borderId="0" xfId="20" applyFont="1" applyFill="1" applyAlignment="1">
      <alignment vertical="center"/>
    </xf>
    <xf numFmtId="166" fontId="96" fillId="0" borderId="0" xfId="22" applyNumberFormat="1" applyFont="1" applyFill="1" applyBorder="1" applyAlignment="1">
      <alignment vertical="center"/>
    </xf>
    <xf numFmtId="0" fontId="99" fillId="0" borderId="0" xfId="20" applyFont="1" applyAlignment="1">
      <alignment vertical="center"/>
    </xf>
    <xf numFmtId="178" fontId="96" fillId="0" borderId="0" xfId="21" applyNumberFormat="1" applyFont="1" applyAlignment="1">
      <alignment vertical="center"/>
    </xf>
    <xf numFmtId="178" fontId="99" fillId="0" borderId="0" xfId="20" applyNumberFormat="1" applyFont="1" applyAlignment="1">
      <alignment vertical="center"/>
    </xf>
    <xf numFmtId="178" fontId="96" fillId="37" borderId="0" xfId="21" applyNumberFormat="1" applyFont="1" applyFill="1" applyAlignment="1">
      <alignment vertical="center"/>
    </xf>
    <xf numFmtId="3" fontId="97" fillId="42" borderId="71" xfId="20" applyNumberFormat="1" applyFont="1" applyFill="1" applyBorder="1" applyAlignment="1">
      <alignment vertical="center"/>
    </xf>
    <xf numFmtId="166" fontId="97" fillId="0" borderId="72" xfId="24" applyNumberFormat="1" applyFont="1" applyFill="1" applyBorder="1" applyAlignment="1">
      <alignment vertical="center"/>
    </xf>
    <xf numFmtId="166" fontId="97" fillId="42" borderId="71" xfId="22" applyNumberFormat="1" applyFont="1" applyFill="1" applyBorder="1" applyAlignment="1">
      <alignment vertical="center"/>
    </xf>
    <xf numFmtId="166" fontId="96" fillId="0" borderId="0" xfId="2" applyNumberFormat="1" applyFont="1" applyAlignment="1">
      <alignment vertical="center"/>
    </xf>
    <xf numFmtId="166" fontId="96" fillId="0" borderId="0" xfId="2" applyNumberFormat="1" applyFont="1" applyFill="1" applyBorder="1" applyAlignment="1">
      <alignment vertical="center"/>
    </xf>
    <xf numFmtId="166" fontId="97" fillId="0" borderId="72" xfId="2" applyNumberFormat="1" applyFont="1" applyFill="1" applyBorder="1" applyAlignment="1">
      <alignment vertical="center"/>
    </xf>
    <xf numFmtId="3" fontId="97" fillId="36" borderId="0" xfId="23" applyNumberFormat="1" applyFont="1" applyFill="1" applyAlignment="1">
      <alignment horizontal="center" vertical="center" wrapText="1"/>
    </xf>
    <xf numFmtId="0" fontId="96" fillId="0" borderId="6" xfId="20" applyFont="1" applyBorder="1" applyAlignment="1">
      <alignment vertical="center"/>
    </xf>
    <xf numFmtId="0" fontId="95" fillId="35" borderId="0" xfId="20" applyFont="1" applyFill="1" applyAlignment="1">
      <alignment horizontal="center" vertical="center"/>
    </xf>
    <xf numFmtId="3" fontId="95" fillId="35" borderId="0" xfId="20" applyNumberFormat="1" applyFont="1" applyFill="1" applyAlignment="1">
      <alignment horizontal="centerContinuous" vertical="center"/>
    </xf>
    <xf numFmtId="166" fontId="95" fillId="35" borderId="0" xfId="22" applyNumberFormat="1" applyFont="1" applyFill="1" applyBorder="1" applyAlignment="1">
      <alignment horizontal="centerContinuous" vertical="center"/>
    </xf>
    <xf numFmtId="186" fontId="95" fillId="35" borderId="0" xfId="23" applyNumberFormat="1" applyFont="1" applyFill="1" applyAlignment="1">
      <alignment vertical="center"/>
    </xf>
    <xf numFmtId="166" fontId="95" fillId="35" borderId="0" xfId="2" applyNumberFormat="1" applyFont="1" applyFill="1" applyBorder="1" applyAlignment="1">
      <alignment horizontal="centerContinuous" vertical="center"/>
    </xf>
    <xf numFmtId="0" fontId="96" fillId="0" borderId="0" xfId="25" applyFont="1"/>
    <xf numFmtId="0" fontId="96" fillId="0" borderId="6" xfId="25" applyFont="1" applyBorder="1"/>
    <xf numFmtId="0" fontId="96" fillId="0" borderId="7" xfId="25" applyFont="1" applyBorder="1"/>
    <xf numFmtId="173" fontId="96" fillId="0" borderId="0" xfId="25" applyNumberFormat="1" applyFont="1"/>
    <xf numFmtId="173" fontId="96" fillId="0" borderId="0" xfId="26" applyNumberFormat="1" applyFont="1"/>
    <xf numFmtId="187" fontId="96" fillId="0" borderId="0" xfId="25" applyNumberFormat="1" applyFont="1"/>
    <xf numFmtId="173" fontId="96" fillId="0" borderId="0" xfId="46" applyNumberFormat="1" applyFont="1" applyBorder="1"/>
    <xf numFmtId="173" fontId="96" fillId="0" borderId="0" xfId="26" applyNumberFormat="1" applyFont="1" applyBorder="1"/>
    <xf numFmtId="166" fontId="99" fillId="36" borderId="0" xfId="22" applyNumberFormat="1" applyFont="1" applyFill="1" applyBorder="1" applyAlignment="1">
      <alignment vertical="center"/>
    </xf>
    <xf numFmtId="0" fontId="99" fillId="0" borderId="15" xfId="25" applyFont="1" applyBorder="1"/>
    <xf numFmtId="0" fontId="99" fillId="0" borderId="16" xfId="25" applyFont="1" applyBorder="1"/>
    <xf numFmtId="0" fontId="96" fillId="0" borderId="16" xfId="25" applyFont="1" applyBorder="1"/>
    <xf numFmtId="0" fontId="96" fillId="0" borderId="17" xfId="25" applyFont="1" applyBorder="1"/>
    <xf numFmtId="0" fontId="95" fillId="35" borderId="6" xfId="20" applyFont="1" applyFill="1" applyBorder="1" applyAlignment="1">
      <alignment horizontal="centerContinuous" vertical="center"/>
    </xf>
    <xf numFmtId="0" fontId="97" fillId="0" borderId="87" xfId="20" applyFont="1" applyBorder="1" applyAlignment="1">
      <alignment vertical="center"/>
    </xf>
    <xf numFmtId="0" fontId="97" fillId="36" borderId="88" xfId="20" applyFont="1" applyFill="1" applyBorder="1" applyAlignment="1">
      <alignment vertical="center"/>
    </xf>
    <xf numFmtId="166" fontId="96" fillId="0" borderId="0" xfId="27" applyNumberFormat="1" applyFont="1" applyBorder="1"/>
    <xf numFmtId="0" fontId="96" fillId="0" borderId="12" xfId="25" applyFont="1" applyBorder="1"/>
    <xf numFmtId="0" fontId="96" fillId="0" borderId="13" xfId="25" applyFont="1" applyBorder="1"/>
    <xf numFmtId="173" fontId="96" fillId="0" borderId="13" xfId="26" applyNumberFormat="1" applyFont="1" applyBorder="1"/>
    <xf numFmtId="0" fontId="96" fillId="0" borderId="14" xfId="25" applyFont="1" applyBorder="1"/>
    <xf numFmtId="1" fontId="0" fillId="0" borderId="0" xfId="0" applyNumberFormat="1"/>
    <xf numFmtId="0" fontId="72" fillId="25" borderId="0" xfId="15" applyFont="1" applyFill="1"/>
    <xf numFmtId="0" fontId="69" fillId="0" borderId="89" xfId="15" applyBorder="1"/>
    <xf numFmtId="0" fontId="69" fillId="0" borderId="90" xfId="15" applyBorder="1"/>
    <xf numFmtId="0" fontId="69" fillId="0" borderId="91" xfId="15" applyBorder="1"/>
    <xf numFmtId="0" fontId="69" fillId="0" borderId="92" xfId="15" applyBorder="1"/>
    <xf numFmtId="0" fontId="69" fillId="0" borderId="93" xfId="15" applyBorder="1"/>
    <xf numFmtId="0" fontId="69" fillId="0" borderId="94" xfId="15" applyBorder="1"/>
    <xf numFmtId="0" fontId="69" fillId="0" borderId="95" xfId="15" applyBorder="1"/>
    <xf numFmtId="0" fontId="69" fillId="0" borderId="96" xfId="15" applyBorder="1"/>
    <xf numFmtId="0" fontId="95" fillId="35" borderId="0" xfId="20" applyFont="1" applyFill="1" applyAlignment="1">
      <alignment horizontal="centerContinuous" vertical="center"/>
    </xf>
    <xf numFmtId="0" fontId="97" fillId="0" borderId="0" xfId="20" applyFont="1" applyAlignment="1">
      <alignment vertical="center"/>
    </xf>
    <xf numFmtId="0" fontId="97" fillId="36" borderId="0" xfId="20" applyFont="1" applyFill="1" applyAlignment="1">
      <alignment vertical="center"/>
    </xf>
    <xf numFmtId="0" fontId="98" fillId="0" borderId="0" xfId="20" applyFont="1" applyAlignment="1">
      <alignment vertical="center"/>
    </xf>
    <xf numFmtId="0" fontId="95" fillId="35" borderId="100" xfId="20" applyFont="1" applyFill="1" applyBorder="1" applyAlignment="1">
      <alignment horizontal="centerContinuous" vertical="center"/>
    </xf>
    <xf numFmtId="0" fontId="96" fillId="0" borderId="100" xfId="20" applyFont="1" applyBorder="1" applyAlignment="1">
      <alignment vertical="center"/>
    </xf>
    <xf numFmtId="0" fontId="97" fillId="0" borderId="102" xfId="20" applyFont="1" applyBorder="1" applyAlignment="1">
      <alignment vertical="center"/>
    </xf>
    <xf numFmtId="0" fontId="97" fillId="36" borderId="103" xfId="20" applyFont="1" applyFill="1" applyBorder="1" applyAlignment="1">
      <alignment vertical="center"/>
    </xf>
    <xf numFmtId="0" fontId="97" fillId="42" borderId="103" xfId="20" applyFont="1" applyFill="1" applyBorder="1" applyAlignment="1">
      <alignment vertical="center"/>
    </xf>
    <xf numFmtId="0" fontId="93" fillId="0" borderId="0" xfId="0" applyFont="1"/>
    <xf numFmtId="170" fontId="93" fillId="0" borderId="0" xfId="1" applyNumberFormat="1" applyFont="1" applyBorder="1"/>
    <xf numFmtId="170" fontId="94" fillId="0" borderId="0" xfId="1" applyNumberFormat="1" applyFont="1" applyBorder="1"/>
    <xf numFmtId="178" fontId="96" fillId="37" borderId="0" xfId="20" applyNumberFormat="1" applyFont="1" applyFill="1" applyAlignment="1">
      <alignment vertical="center"/>
    </xf>
    <xf numFmtId="9" fontId="96" fillId="0" borderId="0" xfId="2" applyFont="1"/>
    <xf numFmtId="3" fontId="96" fillId="0" borderId="0" xfId="25" applyNumberFormat="1" applyFont="1"/>
    <xf numFmtId="166" fontId="96" fillId="0" borderId="0" xfId="25" applyNumberFormat="1" applyFont="1"/>
    <xf numFmtId="4" fontId="96" fillId="0" borderId="0" xfId="25" applyNumberFormat="1" applyFont="1"/>
    <xf numFmtId="3" fontId="101" fillId="43" borderId="0" xfId="25" applyNumberFormat="1" applyFont="1" applyFill="1"/>
    <xf numFmtId="0" fontId="96" fillId="0" borderId="0" xfId="25" applyFont="1" applyAlignment="1">
      <alignment vertical="center"/>
    </xf>
    <xf numFmtId="3" fontId="101" fillId="43" borderId="0" xfId="25" applyNumberFormat="1" applyFont="1" applyFill="1" applyAlignment="1">
      <alignment vertical="center"/>
    </xf>
    <xf numFmtId="4" fontId="96" fillId="0" borderId="0" xfId="25" applyNumberFormat="1" applyFont="1" applyAlignment="1">
      <alignment vertical="center"/>
    </xf>
    <xf numFmtId="166" fontId="96" fillId="0" borderId="0" xfId="20" applyNumberFormat="1" applyFont="1" applyAlignment="1">
      <alignment vertical="center"/>
    </xf>
    <xf numFmtId="3" fontId="101" fillId="7" borderId="0" xfId="25" applyNumberFormat="1" applyFont="1" applyFill="1" applyAlignment="1">
      <alignment vertical="center"/>
    </xf>
    <xf numFmtId="9" fontId="93" fillId="0" borderId="0" xfId="2" applyFont="1" applyBorder="1"/>
    <xf numFmtId="173" fontId="28" fillId="0" borderId="0" xfId="4" applyNumberFormat="1"/>
    <xf numFmtId="9" fontId="28" fillId="0" borderId="0" xfId="2" applyFont="1"/>
    <xf numFmtId="9" fontId="28" fillId="0" borderId="0" xfId="4" applyNumberFormat="1"/>
    <xf numFmtId="173" fontId="103" fillId="43" borderId="0" xfId="4" applyNumberFormat="1" applyFont="1" applyFill="1"/>
    <xf numFmtId="170" fontId="104" fillId="43" borderId="0" xfId="4" applyNumberFormat="1" applyFont="1" applyFill="1"/>
    <xf numFmtId="3" fontId="28" fillId="0" borderId="0" xfId="4" applyNumberFormat="1"/>
    <xf numFmtId="189" fontId="28" fillId="0" borderId="0" xfId="4" applyNumberFormat="1" applyAlignment="1">
      <alignment horizontal="right"/>
    </xf>
    <xf numFmtId="166" fontId="101" fillId="0" borderId="0" xfId="20" applyNumberFormat="1" applyFont="1" applyAlignment="1">
      <alignment vertical="center"/>
    </xf>
    <xf numFmtId="3" fontId="101" fillId="0" borderId="0" xfId="20" applyNumberFormat="1" applyFont="1" applyAlignment="1">
      <alignment vertical="center"/>
    </xf>
    <xf numFmtId="0" fontId="96" fillId="0" borderId="0" xfId="20" applyFont="1" applyAlignment="1">
      <alignment horizontal="center" vertical="center"/>
    </xf>
    <xf numFmtId="166" fontId="101" fillId="0" borderId="0" xfId="20" applyNumberFormat="1" applyFont="1" applyAlignment="1">
      <alignment horizontal="center" vertical="center"/>
    </xf>
    <xf numFmtId="166" fontId="89" fillId="0" borderId="0" xfId="20" applyNumberFormat="1" applyFont="1" applyAlignment="1">
      <alignment horizontal="center" vertical="center"/>
    </xf>
    <xf numFmtId="3" fontId="89" fillId="0" borderId="0" xfId="20" applyNumberFormat="1" applyFont="1" applyAlignment="1">
      <alignment vertical="center"/>
    </xf>
    <xf numFmtId="0" fontId="97" fillId="0" borderId="108" xfId="20" applyFont="1" applyBorder="1" applyAlignment="1">
      <alignment vertical="center"/>
    </xf>
    <xf numFmtId="0" fontId="96" fillId="0" borderId="108" xfId="20" applyFont="1" applyBorder="1" applyAlignment="1">
      <alignment vertical="center"/>
    </xf>
    <xf numFmtId="0" fontId="96" fillId="0" borderId="108" xfId="20" applyFont="1" applyBorder="1" applyAlignment="1">
      <alignment horizontal="center" vertical="center"/>
    </xf>
    <xf numFmtId="166" fontId="105" fillId="0" borderId="109" xfId="20" applyNumberFormat="1" applyFont="1" applyBorder="1" applyAlignment="1">
      <alignment vertical="center"/>
    </xf>
    <xf numFmtId="0" fontId="97" fillId="36" borderId="108" xfId="20" applyFont="1" applyFill="1" applyBorder="1" applyAlignment="1">
      <alignment vertical="center"/>
    </xf>
    <xf numFmtId="166" fontId="101" fillId="43" borderId="108" xfId="20" applyNumberFormat="1" applyFont="1" applyFill="1" applyBorder="1" applyAlignment="1">
      <alignment vertical="center"/>
    </xf>
    <xf numFmtId="0" fontId="97" fillId="36" borderId="110" xfId="20" applyFont="1" applyFill="1" applyBorder="1" applyAlignment="1">
      <alignment vertical="center"/>
    </xf>
    <xf numFmtId="3" fontId="97" fillId="36" borderId="110" xfId="20" applyNumberFormat="1" applyFont="1" applyFill="1" applyBorder="1" applyAlignment="1">
      <alignment vertical="center"/>
    </xf>
    <xf numFmtId="0" fontId="96" fillId="0" borderId="110" xfId="20" applyFont="1" applyBorder="1" applyAlignment="1">
      <alignment vertical="center"/>
    </xf>
    <xf numFmtId="166" fontId="101" fillId="43" borderId="110" xfId="20" applyNumberFormat="1" applyFont="1" applyFill="1" applyBorder="1" applyAlignment="1">
      <alignment vertical="center"/>
    </xf>
    <xf numFmtId="166" fontId="101" fillId="0" borderId="110" xfId="20" applyNumberFormat="1" applyFont="1" applyBorder="1" applyAlignment="1">
      <alignment horizontal="center" vertical="center"/>
    </xf>
    <xf numFmtId="3" fontId="89" fillId="0" borderId="111" xfId="20" applyNumberFormat="1" applyFont="1" applyBorder="1" applyAlignment="1">
      <alignment vertical="center"/>
    </xf>
    <xf numFmtId="0" fontId="97" fillId="42" borderId="110" xfId="20" applyFont="1" applyFill="1" applyBorder="1" applyAlignment="1">
      <alignment vertical="center"/>
    </xf>
    <xf numFmtId="3" fontId="97" fillId="42" borderId="110" xfId="20" applyNumberFormat="1" applyFont="1" applyFill="1" applyBorder="1" applyAlignment="1">
      <alignment vertical="center"/>
    </xf>
    <xf numFmtId="166" fontId="97" fillId="42" borderId="110" xfId="22" applyNumberFormat="1" applyFont="1" applyFill="1" applyBorder="1" applyAlignment="1">
      <alignment vertical="center"/>
    </xf>
    <xf numFmtId="166" fontId="89" fillId="0" borderId="110" xfId="20" applyNumberFormat="1" applyFont="1" applyBorder="1" applyAlignment="1">
      <alignment horizontal="center" vertical="center"/>
    </xf>
    <xf numFmtId="3" fontId="89" fillId="0" borderId="112" xfId="20" applyNumberFormat="1" applyFont="1" applyBorder="1" applyAlignment="1">
      <alignment vertical="center"/>
    </xf>
    <xf numFmtId="1" fontId="89" fillId="0" borderId="108" xfId="20" applyNumberFormat="1" applyFont="1" applyBorder="1" applyAlignment="1">
      <alignment vertical="center" wrapText="1"/>
    </xf>
    <xf numFmtId="3" fontId="107" fillId="0" borderId="110" xfId="20" applyNumberFormat="1" applyFont="1" applyBorder="1" applyAlignment="1">
      <alignment vertical="center" wrapText="1"/>
    </xf>
    <xf numFmtId="3" fontId="108" fillId="35" borderId="0" xfId="20" applyNumberFormat="1" applyFont="1" applyFill="1" applyAlignment="1">
      <alignment horizontal="centerContinuous" vertical="center"/>
    </xf>
    <xf numFmtId="166" fontId="89" fillId="0" borderId="108" xfId="20" applyNumberFormat="1" applyFont="1" applyBorder="1" applyAlignment="1">
      <alignment horizontal="center" vertical="center"/>
    </xf>
    <xf numFmtId="3" fontId="106" fillId="0" borderId="0" xfId="20" applyNumberFormat="1" applyFont="1" applyAlignment="1">
      <alignment vertical="center"/>
    </xf>
    <xf numFmtId="166" fontId="106" fillId="0" borderId="0" xfId="22" applyNumberFormat="1" applyFont="1" applyBorder="1" applyAlignment="1">
      <alignment vertical="center"/>
    </xf>
    <xf numFmtId="178" fontId="106" fillId="0" borderId="0" xfId="21" applyNumberFormat="1" applyFont="1" applyBorder="1" applyAlignment="1">
      <alignment vertical="center"/>
    </xf>
    <xf numFmtId="166" fontId="106" fillId="0" borderId="0" xfId="2" applyNumberFormat="1" applyFont="1" applyBorder="1" applyAlignment="1">
      <alignment vertical="center"/>
    </xf>
    <xf numFmtId="0" fontId="106" fillId="0" borderId="0" xfId="20" applyFont="1" applyAlignment="1">
      <alignment vertical="center"/>
    </xf>
    <xf numFmtId="0" fontId="109" fillId="35" borderId="0" xfId="20" applyFont="1" applyFill="1" applyAlignment="1">
      <alignment horizontal="center" vertical="center"/>
    </xf>
    <xf numFmtId="3" fontId="109" fillId="35" borderId="0" xfId="20" applyNumberFormat="1" applyFont="1" applyFill="1" applyAlignment="1">
      <alignment horizontal="centerContinuous" vertical="center"/>
    </xf>
    <xf numFmtId="166" fontId="109" fillId="35" borderId="0" xfId="22" applyNumberFormat="1" applyFont="1" applyFill="1" applyBorder="1" applyAlignment="1">
      <alignment horizontal="centerContinuous" vertical="center"/>
    </xf>
    <xf numFmtId="186" fontId="109" fillId="35" borderId="0" xfId="23" applyNumberFormat="1" applyFont="1" applyFill="1" applyAlignment="1">
      <alignment vertical="center"/>
    </xf>
    <xf numFmtId="166" fontId="109" fillId="35" borderId="0" xfId="2" applyNumberFormat="1" applyFont="1" applyFill="1" applyBorder="1" applyAlignment="1">
      <alignment horizontal="centerContinuous" vertical="center"/>
    </xf>
    <xf numFmtId="4" fontId="107" fillId="0" borderId="0" xfId="20" applyNumberFormat="1" applyFont="1" applyAlignment="1">
      <alignment vertical="center"/>
    </xf>
    <xf numFmtId="3" fontId="110" fillId="36" borderId="0" xfId="23" applyNumberFormat="1" applyFont="1" applyFill="1" applyAlignment="1">
      <alignment horizontal="center" vertical="center" wrapText="1"/>
    </xf>
    <xf numFmtId="166" fontId="106" fillId="0" borderId="0" xfId="22" applyNumberFormat="1" applyFont="1" applyFill="1" applyBorder="1" applyAlignment="1">
      <alignment vertical="center"/>
    </xf>
    <xf numFmtId="3" fontId="106" fillId="0" borderId="0" xfId="23" applyNumberFormat="1" applyFont="1" applyAlignment="1">
      <alignment vertical="center"/>
    </xf>
    <xf numFmtId="166" fontId="106" fillId="0" borderId="0" xfId="2" applyNumberFormat="1" applyFont="1" applyFill="1" applyBorder="1" applyAlignment="1">
      <alignment vertical="center"/>
    </xf>
    <xf numFmtId="3" fontId="106" fillId="0" borderId="108" xfId="20" applyNumberFormat="1" applyFont="1" applyBorder="1" applyAlignment="1">
      <alignment vertical="center"/>
    </xf>
    <xf numFmtId="166" fontId="106" fillId="0" borderId="108" xfId="22" applyNumberFormat="1" applyFont="1" applyFill="1" applyBorder="1" applyAlignment="1">
      <alignment vertical="center"/>
    </xf>
    <xf numFmtId="3" fontId="106" fillId="0" borderId="108" xfId="23" applyNumberFormat="1" applyFont="1" applyBorder="1" applyAlignment="1">
      <alignment vertical="center"/>
    </xf>
    <xf numFmtId="166" fontId="106" fillId="0" borderId="108" xfId="2" applyNumberFormat="1" applyFont="1" applyFill="1" applyBorder="1" applyAlignment="1">
      <alignment vertical="center"/>
    </xf>
    <xf numFmtId="0" fontId="106" fillId="0" borderId="108" xfId="20" applyFont="1" applyBorder="1" applyAlignment="1">
      <alignment vertical="center"/>
    </xf>
    <xf numFmtId="3" fontId="110" fillId="0" borderId="108" xfId="20" applyNumberFormat="1" applyFont="1" applyBorder="1" applyAlignment="1">
      <alignment vertical="center"/>
    </xf>
    <xf numFmtId="166" fontId="110" fillId="0" borderId="108" xfId="22" applyNumberFormat="1" applyFont="1" applyFill="1" applyBorder="1" applyAlignment="1">
      <alignment vertical="center"/>
    </xf>
    <xf numFmtId="166" fontId="110" fillId="0" borderId="108" xfId="2" applyNumberFormat="1" applyFont="1" applyFill="1" applyBorder="1" applyAlignment="1">
      <alignment vertical="center"/>
    </xf>
    <xf numFmtId="3" fontId="110" fillId="36" borderId="110" xfId="20" applyNumberFormat="1" applyFont="1" applyFill="1" applyBorder="1" applyAlignment="1">
      <alignment vertical="center"/>
    </xf>
    <xf numFmtId="166" fontId="110" fillId="36" borderId="110" xfId="22" applyNumberFormat="1" applyFont="1" applyFill="1" applyBorder="1" applyAlignment="1">
      <alignment vertical="center"/>
    </xf>
    <xf numFmtId="3" fontId="110" fillId="36" borderId="110" xfId="23" applyNumberFormat="1" applyFont="1" applyFill="1" applyBorder="1" applyAlignment="1">
      <alignment vertical="center"/>
    </xf>
    <xf numFmtId="166" fontId="110" fillId="36" borderId="110" xfId="2" applyNumberFormat="1" applyFont="1" applyFill="1" applyBorder="1" applyAlignment="1">
      <alignment vertical="center"/>
    </xf>
    <xf numFmtId="0" fontId="106" fillId="0" borderId="110" xfId="20" applyFont="1" applyBorder="1" applyAlignment="1">
      <alignment vertical="center"/>
    </xf>
    <xf numFmtId="3" fontId="106" fillId="0" borderId="107" xfId="20" applyNumberFormat="1" applyFont="1" applyBorder="1" applyAlignment="1">
      <alignment vertical="center"/>
    </xf>
    <xf numFmtId="3" fontId="110" fillId="0" borderId="0" xfId="20" applyNumberFormat="1" applyFont="1" applyAlignment="1">
      <alignment vertical="center"/>
    </xf>
    <xf numFmtId="166" fontId="110" fillId="0" borderId="0" xfId="24" applyNumberFormat="1" applyFont="1" applyFill="1" applyBorder="1" applyAlignment="1">
      <alignment vertical="center"/>
    </xf>
    <xf numFmtId="166" fontId="110" fillId="0" borderId="0" xfId="2" applyNumberFormat="1" applyFont="1" applyFill="1" applyBorder="1" applyAlignment="1">
      <alignment vertical="center"/>
    </xf>
    <xf numFmtId="3" fontId="110" fillId="42" borderId="110" xfId="20" applyNumberFormat="1" applyFont="1" applyFill="1" applyBorder="1" applyAlignment="1">
      <alignment vertical="center"/>
    </xf>
    <xf numFmtId="166" fontId="110" fillId="42" borderId="110" xfId="22" applyNumberFormat="1" applyFont="1" applyFill="1" applyBorder="1" applyAlignment="1">
      <alignment vertical="center"/>
    </xf>
    <xf numFmtId="3" fontId="110" fillId="42" borderId="110" xfId="23" applyNumberFormat="1" applyFont="1" applyFill="1" applyBorder="1" applyAlignment="1">
      <alignment vertical="center"/>
    </xf>
    <xf numFmtId="166" fontId="110" fillId="42" borderId="110" xfId="2" applyNumberFormat="1" applyFont="1" applyFill="1" applyBorder="1" applyAlignment="1">
      <alignment vertical="center"/>
    </xf>
    <xf numFmtId="3" fontId="110" fillId="36" borderId="0" xfId="20" applyNumberFormat="1" applyFont="1" applyFill="1" applyAlignment="1">
      <alignment vertical="center"/>
    </xf>
    <xf numFmtId="166" fontId="110" fillId="36" borderId="0" xfId="22" applyNumberFormat="1" applyFont="1" applyFill="1" applyBorder="1" applyAlignment="1">
      <alignment vertical="center"/>
    </xf>
    <xf numFmtId="166" fontId="110" fillId="36" borderId="0" xfId="2" applyNumberFormat="1" applyFont="1" applyFill="1" applyBorder="1" applyAlignment="1">
      <alignment vertical="center"/>
    </xf>
    <xf numFmtId="3" fontId="110" fillId="36" borderId="108" xfId="20" applyNumberFormat="1" applyFont="1" applyFill="1" applyBorder="1" applyAlignment="1">
      <alignment vertical="center"/>
    </xf>
    <xf numFmtId="166" fontId="110" fillId="36" borderId="108" xfId="22" applyNumberFormat="1" applyFont="1" applyFill="1" applyBorder="1" applyAlignment="1">
      <alignment vertical="center"/>
    </xf>
    <xf numFmtId="166" fontId="110" fillId="36" borderId="108" xfId="2" applyNumberFormat="1" applyFont="1" applyFill="1" applyBorder="1" applyAlignment="1">
      <alignment vertical="center"/>
    </xf>
    <xf numFmtId="3" fontId="106" fillId="0" borderId="104" xfId="23" applyNumberFormat="1" applyFont="1" applyBorder="1" applyAlignment="1">
      <alignment vertical="center"/>
    </xf>
    <xf numFmtId="3" fontId="106" fillId="0" borderId="106" xfId="20" applyNumberFormat="1" applyFont="1" applyBorder="1" applyAlignment="1">
      <alignment vertical="center"/>
    </xf>
    <xf numFmtId="166" fontId="110" fillId="0" borderId="0" xfId="22" applyNumberFormat="1" applyFont="1" applyBorder="1" applyAlignment="1">
      <alignment vertical="center"/>
    </xf>
    <xf numFmtId="3" fontId="110" fillId="0" borderId="0" xfId="23" applyNumberFormat="1" applyFont="1" applyAlignment="1">
      <alignment vertical="center"/>
    </xf>
    <xf numFmtId="166" fontId="110" fillId="0" borderId="0" xfId="2" applyNumberFormat="1" applyFont="1" applyBorder="1" applyAlignment="1">
      <alignment vertical="center"/>
    </xf>
    <xf numFmtId="3" fontId="111" fillId="0" borderId="0" xfId="20" applyNumberFormat="1" applyFont="1" applyAlignment="1">
      <alignment vertical="center"/>
    </xf>
    <xf numFmtId="166" fontId="110" fillId="0" borderId="0" xfId="22" applyNumberFormat="1" applyFont="1" applyFill="1" applyBorder="1" applyAlignment="1">
      <alignment vertical="center"/>
    </xf>
    <xf numFmtId="9" fontId="106" fillId="0" borderId="0" xfId="2" applyFont="1" applyAlignment="1">
      <alignment vertical="center"/>
    </xf>
    <xf numFmtId="166" fontId="106" fillId="0" borderId="0" xfId="22" applyNumberFormat="1" applyFont="1" applyAlignment="1">
      <alignment vertical="center"/>
    </xf>
    <xf numFmtId="178" fontId="106" fillId="0" borderId="0" xfId="21" applyNumberFormat="1" applyFont="1" applyAlignment="1">
      <alignment vertical="center"/>
    </xf>
    <xf numFmtId="166" fontId="106" fillId="0" borderId="0" xfId="2" applyNumberFormat="1" applyFont="1" applyAlignment="1">
      <alignment vertical="center"/>
    </xf>
    <xf numFmtId="166" fontId="101" fillId="0" borderId="0" xfId="25" applyNumberFormat="1" applyFont="1" applyAlignment="1">
      <alignment vertical="center"/>
    </xf>
    <xf numFmtId="3" fontId="101" fillId="0" borderId="0" xfId="25" applyNumberFormat="1" applyFont="1" applyAlignment="1">
      <alignment vertical="center"/>
    </xf>
    <xf numFmtId="0" fontId="96" fillId="0" borderId="0" xfId="25" applyFont="1" applyAlignment="1">
      <alignment horizontal="center" vertical="center"/>
    </xf>
    <xf numFmtId="166" fontId="101" fillId="0" borderId="0" xfId="25" applyNumberFormat="1" applyFont="1" applyAlignment="1">
      <alignment horizontal="center" vertical="center"/>
    </xf>
    <xf numFmtId="4" fontId="96" fillId="0" borderId="0" xfId="25" applyNumberFormat="1" applyFont="1" applyAlignment="1">
      <alignment horizontal="center" vertical="center"/>
    </xf>
    <xf numFmtId="0" fontId="96" fillId="0" borderId="0" xfId="25" applyFont="1" applyAlignment="1">
      <alignment vertical="center" wrapText="1"/>
    </xf>
    <xf numFmtId="166" fontId="100" fillId="0" borderId="0" xfId="25" applyNumberFormat="1" applyFont="1" applyAlignment="1">
      <alignment vertical="center" wrapText="1"/>
    </xf>
    <xf numFmtId="0" fontId="97" fillId="36" borderId="113" xfId="20" applyFont="1" applyFill="1" applyBorder="1" applyAlignment="1">
      <alignment vertical="center"/>
    </xf>
    <xf numFmtId="166" fontId="99" fillId="36" borderId="110" xfId="22" applyNumberFormat="1" applyFont="1" applyFill="1" applyBorder="1" applyAlignment="1">
      <alignment vertical="center"/>
    </xf>
    <xf numFmtId="0" fontId="96" fillId="0" borderId="114" xfId="25" applyFont="1" applyBorder="1"/>
    <xf numFmtId="0" fontId="96" fillId="0" borderId="110" xfId="25" applyFont="1" applyBorder="1"/>
    <xf numFmtId="166" fontId="101" fillId="43" borderId="110" xfId="25" applyNumberFormat="1" applyFont="1" applyFill="1" applyBorder="1" applyAlignment="1">
      <alignment horizontal="center" vertical="center"/>
    </xf>
    <xf numFmtId="166" fontId="101" fillId="0" borderId="110" xfId="25" applyNumberFormat="1" applyFont="1" applyBorder="1" applyAlignment="1">
      <alignment vertical="center"/>
    </xf>
    <xf numFmtId="3" fontId="101" fillId="43" borderId="110" xfId="25" applyNumberFormat="1" applyFont="1" applyFill="1" applyBorder="1" applyAlignment="1">
      <alignment vertical="center"/>
    </xf>
    <xf numFmtId="166" fontId="89" fillId="0" borderId="110" xfId="25" applyNumberFormat="1" applyFont="1" applyBorder="1" applyAlignment="1">
      <alignment vertical="center" wrapText="1"/>
    </xf>
    <xf numFmtId="0" fontId="97" fillId="0" borderId="88" xfId="20" applyFont="1" applyBorder="1" applyAlignment="1">
      <alignment vertical="center"/>
    </xf>
    <xf numFmtId="3" fontId="97" fillId="0" borderId="71" xfId="20" applyNumberFormat="1" applyFont="1" applyBorder="1" applyAlignment="1">
      <alignment vertical="center"/>
    </xf>
    <xf numFmtId="166" fontId="97" fillId="0" borderId="71" xfId="24" applyNumberFormat="1" applyFont="1" applyFill="1" applyBorder="1" applyAlignment="1">
      <alignment vertical="center"/>
    </xf>
    <xf numFmtId="0" fontId="97" fillId="42" borderId="113" xfId="20" applyFont="1" applyFill="1" applyBorder="1" applyAlignment="1">
      <alignment vertical="center"/>
    </xf>
    <xf numFmtId="166" fontId="89" fillId="0" borderId="110" xfId="25" applyNumberFormat="1" applyFont="1" applyBorder="1" applyAlignment="1">
      <alignment horizontal="center" vertical="center"/>
    </xf>
    <xf numFmtId="166" fontId="105" fillId="0" borderId="0" xfId="25" applyNumberFormat="1" applyFont="1" applyAlignment="1">
      <alignment vertical="center"/>
    </xf>
    <xf numFmtId="0" fontId="112" fillId="0" borderId="108" xfId="20" applyFont="1" applyBorder="1" applyAlignment="1">
      <alignment vertical="center" wrapText="1"/>
    </xf>
    <xf numFmtId="3" fontId="115" fillId="0" borderId="110" xfId="20" applyNumberFormat="1" applyFont="1" applyBorder="1" applyAlignment="1">
      <alignment vertical="top" wrapText="1"/>
    </xf>
    <xf numFmtId="3" fontId="96" fillId="0" borderId="0" xfId="25" applyNumberFormat="1" applyFont="1" applyAlignment="1">
      <alignment wrapText="1"/>
    </xf>
    <xf numFmtId="166" fontId="96" fillId="0" borderId="0" xfId="25" applyNumberFormat="1" applyFont="1" applyAlignment="1">
      <alignment vertical="center"/>
    </xf>
    <xf numFmtId="0" fontId="89" fillId="0" borderId="0" xfId="25" applyFont="1" applyAlignment="1">
      <alignment horizontal="center" vertical="center"/>
    </xf>
    <xf numFmtId="0" fontId="99" fillId="0" borderId="97" xfId="25" applyFont="1" applyBorder="1"/>
    <xf numFmtId="0" fontId="99" fillId="0" borderId="98" xfId="25" applyFont="1" applyBorder="1"/>
    <xf numFmtId="0" fontId="96" fillId="0" borderId="98" xfId="25" applyFont="1" applyBorder="1"/>
    <xf numFmtId="0" fontId="96" fillId="0" borderId="99" xfId="25" applyFont="1" applyBorder="1"/>
    <xf numFmtId="0" fontId="102" fillId="0" borderId="0" xfId="25" applyFont="1"/>
    <xf numFmtId="0" fontId="96" fillId="0" borderId="101" xfId="25" applyFont="1" applyBorder="1"/>
    <xf numFmtId="0" fontId="96" fillId="0" borderId="100" xfId="25" applyFont="1" applyBorder="1"/>
    <xf numFmtId="173" fontId="96" fillId="0" borderId="0" xfId="46" applyNumberFormat="1" applyFont="1" applyBorder="1" applyAlignment="1"/>
    <xf numFmtId="9" fontId="96" fillId="0" borderId="0" xfId="25" applyNumberFormat="1" applyFont="1"/>
    <xf numFmtId="10" fontId="96" fillId="0" borderId="0" xfId="25" applyNumberFormat="1" applyFont="1"/>
    <xf numFmtId="0" fontId="96" fillId="0" borderId="104" xfId="25" applyFont="1" applyBorder="1"/>
    <xf numFmtId="0" fontId="96" fillId="0" borderId="105" xfId="25" applyFont="1" applyBorder="1"/>
    <xf numFmtId="173" fontId="96" fillId="0" borderId="105" xfId="26" applyNumberFormat="1" applyFont="1" applyBorder="1" applyAlignment="1"/>
    <xf numFmtId="0" fontId="96" fillId="0" borderId="106" xfId="25" applyFont="1" applyBorder="1"/>
    <xf numFmtId="166" fontId="88" fillId="0" borderId="0" xfId="25" applyNumberFormat="1" applyFont="1"/>
    <xf numFmtId="0" fontId="116" fillId="30" borderId="65" xfId="4" applyFont="1" applyFill="1" applyBorder="1"/>
    <xf numFmtId="0" fontId="15" fillId="44" borderId="0" xfId="0" applyFont="1" applyFill="1"/>
    <xf numFmtId="0" fontId="15" fillId="44" borderId="115" xfId="0" applyFont="1" applyFill="1" applyBorder="1"/>
    <xf numFmtId="1" fontId="15" fillId="44" borderId="115" xfId="0" applyNumberFormat="1" applyFont="1" applyFill="1" applyBorder="1"/>
    <xf numFmtId="0" fontId="15" fillId="0" borderId="115" xfId="0" applyFont="1" applyBorder="1" applyAlignment="1">
      <alignment horizontal="left"/>
    </xf>
    <xf numFmtId="173" fontId="15" fillId="0" borderId="115" xfId="0" applyNumberFormat="1" applyFont="1" applyBorder="1"/>
    <xf numFmtId="166" fontId="28" fillId="0" borderId="0" xfId="2" applyNumberFormat="1" applyFont="1"/>
    <xf numFmtId="189" fontId="28" fillId="0" borderId="0" xfId="1" applyNumberFormat="1" applyFont="1"/>
    <xf numFmtId="0" fontId="0" fillId="0" borderId="0" xfId="0" applyAlignment="1">
      <alignment horizontal="left" indent="1"/>
    </xf>
    <xf numFmtId="173" fontId="0" fillId="0" borderId="0" xfId="0" applyNumberFormat="1"/>
    <xf numFmtId="173" fontId="15" fillId="0" borderId="0" xfId="0" applyNumberFormat="1" applyFont="1"/>
    <xf numFmtId="173" fontId="0" fillId="11" borderId="0" xfId="0" applyNumberFormat="1" applyFill="1"/>
    <xf numFmtId="173" fontId="0" fillId="45" borderId="0" xfId="0" applyNumberFormat="1" applyFill="1"/>
    <xf numFmtId="0" fontId="0" fillId="0" borderId="0" xfId="0" applyAlignment="1">
      <alignment horizontal="left"/>
    </xf>
    <xf numFmtId="0" fontId="15" fillId="0" borderId="0" xfId="0" applyFont="1" applyAlignment="1">
      <alignment horizontal="left" indent="1"/>
    </xf>
    <xf numFmtId="1" fontId="0" fillId="0" borderId="0" xfId="0" applyNumberFormat="1" applyAlignment="1">
      <alignment horizontal="left" indent="2"/>
    </xf>
    <xf numFmtId="14" fontId="0" fillId="0" borderId="0" xfId="0" applyNumberFormat="1" applyAlignment="1">
      <alignment horizontal="left" indent="1"/>
    </xf>
    <xf numFmtId="14" fontId="0" fillId="0" borderId="0" xfId="0" applyNumberFormat="1" applyAlignment="1">
      <alignment horizontal="left"/>
    </xf>
    <xf numFmtId="173" fontId="30" fillId="0" borderId="64" xfId="1" applyNumberFormat="1" applyFont="1" applyBorder="1"/>
    <xf numFmtId="0" fontId="117" fillId="46" borderId="0" xfId="0" applyFont="1" applyFill="1"/>
    <xf numFmtId="9" fontId="118" fillId="47" borderId="0" xfId="0" applyNumberFormat="1" applyFont="1" applyFill="1" applyAlignment="1">
      <alignment horizontal="center"/>
    </xf>
    <xf numFmtId="0" fontId="76" fillId="46" borderId="0" xfId="0" applyFont="1" applyFill="1" applyAlignment="1">
      <alignment horizontal="center"/>
    </xf>
    <xf numFmtId="0" fontId="119" fillId="46" borderId="0" xfId="0" applyFont="1" applyFill="1" applyAlignment="1">
      <alignment horizontal="left" vertical="center"/>
    </xf>
    <xf numFmtId="0" fontId="123" fillId="49" borderId="0" xfId="0" applyFont="1" applyFill="1"/>
    <xf numFmtId="0" fontId="117" fillId="46" borderId="118" xfId="0" applyFont="1" applyFill="1" applyBorder="1" applyAlignment="1">
      <alignment vertical="center"/>
    </xf>
    <xf numFmtId="0" fontId="75" fillId="46" borderId="119" xfId="0" applyFont="1" applyFill="1" applyBorder="1" applyAlignment="1">
      <alignment horizontal="center" vertical="center"/>
    </xf>
    <xf numFmtId="0" fontId="117" fillId="50" borderId="118" xfId="0" applyFont="1" applyFill="1" applyBorder="1" applyAlignment="1">
      <alignment vertical="center"/>
    </xf>
    <xf numFmtId="0" fontId="124" fillId="50" borderId="118" xfId="0" applyFont="1" applyFill="1" applyBorder="1" applyAlignment="1">
      <alignment vertical="center"/>
    </xf>
    <xf numFmtId="0" fontId="117" fillId="0" borderId="118" xfId="0" applyFont="1" applyBorder="1" applyAlignment="1">
      <alignment vertical="center"/>
    </xf>
    <xf numFmtId="0" fontId="123" fillId="51" borderId="118" xfId="0" applyFont="1" applyFill="1" applyBorder="1" applyAlignment="1">
      <alignment vertical="center"/>
    </xf>
    <xf numFmtId="0" fontId="125" fillId="51" borderId="118" xfId="0" applyFont="1" applyFill="1" applyBorder="1" applyAlignment="1">
      <alignment vertical="center"/>
    </xf>
    <xf numFmtId="0" fontId="124" fillId="0" borderId="118" xfId="0" applyFont="1" applyBorder="1" applyAlignment="1">
      <alignment vertical="center"/>
    </xf>
    <xf numFmtId="0" fontId="117" fillId="52" borderId="118" xfId="0" applyFont="1" applyFill="1" applyBorder="1" applyAlignment="1">
      <alignment vertical="center"/>
    </xf>
    <xf numFmtId="0" fontId="124" fillId="52" borderId="118" xfId="0" applyFont="1" applyFill="1" applyBorder="1" applyAlignment="1">
      <alignment vertical="center"/>
    </xf>
    <xf numFmtId="0" fontId="126" fillId="0" borderId="118" xfId="0" applyFont="1" applyBorder="1" applyAlignment="1">
      <alignment vertical="center"/>
    </xf>
    <xf numFmtId="0" fontId="127" fillId="52" borderId="118" xfId="0" applyFont="1" applyFill="1" applyBorder="1" applyAlignment="1">
      <alignment vertical="center"/>
    </xf>
    <xf numFmtId="0" fontId="127" fillId="52" borderId="0" xfId="0" applyFont="1" applyFill="1" applyAlignment="1">
      <alignment vertical="center"/>
    </xf>
    <xf numFmtId="0" fontId="125" fillId="53" borderId="118" xfId="0" applyFont="1" applyFill="1" applyBorder="1" applyAlignment="1">
      <alignment vertical="center"/>
    </xf>
    <xf numFmtId="0" fontId="128" fillId="53" borderId="118" xfId="0" applyFont="1" applyFill="1" applyBorder="1" applyAlignment="1">
      <alignment vertical="center"/>
    </xf>
    <xf numFmtId="0" fontId="123" fillId="53" borderId="118" xfId="0" applyFont="1" applyFill="1" applyBorder="1" applyAlignment="1">
      <alignment vertical="center"/>
    </xf>
    <xf numFmtId="0" fontId="117" fillId="54" borderId="118" xfId="0" applyFont="1" applyFill="1" applyBorder="1" applyAlignment="1">
      <alignment vertical="center"/>
    </xf>
    <xf numFmtId="0" fontId="124" fillId="54" borderId="118" xfId="0" applyFont="1" applyFill="1" applyBorder="1" applyAlignment="1">
      <alignment vertical="center"/>
    </xf>
    <xf numFmtId="0" fontId="75" fillId="46" borderId="120" xfId="0" applyFont="1" applyFill="1" applyBorder="1" applyAlignment="1">
      <alignment horizontal="center" vertical="center"/>
    </xf>
    <xf numFmtId="0" fontId="117" fillId="55" borderId="118" xfId="0" applyFont="1" applyFill="1" applyBorder="1" applyAlignment="1">
      <alignment vertical="center"/>
    </xf>
    <xf numFmtId="0" fontId="117" fillId="56" borderId="118" xfId="0" applyFont="1" applyFill="1" applyBorder="1" applyAlignment="1">
      <alignment vertical="center"/>
    </xf>
    <xf numFmtId="0" fontId="117" fillId="57" borderId="118" xfId="0" applyFont="1" applyFill="1" applyBorder="1" applyAlignment="1">
      <alignment vertical="center"/>
    </xf>
    <xf numFmtId="0" fontId="124" fillId="57" borderId="118" xfId="0" applyFont="1" applyFill="1" applyBorder="1" applyAlignment="1">
      <alignment vertical="center"/>
    </xf>
    <xf numFmtId="0" fontId="117" fillId="0" borderId="121" xfId="0" applyFont="1" applyBorder="1" applyAlignment="1">
      <alignment horizontal="center" vertical="center"/>
    </xf>
    <xf numFmtId="0" fontId="124" fillId="58" borderId="122" xfId="0" applyFont="1" applyFill="1" applyBorder="1" applyAlignment="1">
      <alignment vertical="center"/>
    </xf>
    <xf numFmtId="0" fontId="129" fillId="46" borderId="123" xfId="0" applyFont="1" applyFill="1" applyBorder="1" applyAlignment="1">
      <alignment horizontal="center" vertical="center"/>
    </xf>
    <xf numFmtId="0" fontId="130" fillId="0" borderId="0" xfId="4" applyFont="1"/>
    <xf numFmtId="173" fontId="130" fillId="0" borderId="0" xfId="1" applyNumberFormat="1" applyFont="1"/>
    <xf numFmtId="0" fontId="130" fillId="0" borderId="0" xfId="4" applyFont="1" applyAlignment="1">
      <alignment vertical="center"/>
    </xf>
    <xf numFmtId="0" fontId="130" fillId="0" borderId="0" xfId="4" applyFont="1" applyAlignment="1">
      <alignment vertical="center" wrapText="1"/>
    </xf>
    <xf numFmtId="0" fontId="28" fillId="0" borderId="0" xfId="4" applyAlignment="1">
      <alignment vertical="center"/>
    </xf>
    <xf numFmtId="173" fontId="28" fillId="27" borderId="0" xfId="1" applyNumberFormat="1" applyFont="1" applyFill="1"/>
    <xf numFmtId="0" fontId="131" fillId="0" borderId="0" xfId="4" applyFont="1"/>
    <xf numFmtId="0" fontId="30" fillId="44" borderId="115" xfId="0" applyFont="1" applyFill="1" applyBorder="1"/>
    <xf numFmtId="0" fontId="28" fillId="0" borderId="0" xfId="0" applyFont="1" applyAlignment="1">
      <alignment horizontal="left"/>
    </xf>
    <xf numFmtId="4" fontId="28" fillId="0" borderId="0" xfId="4" applyNumberFormat="1"/>
    <xf numFmtId="0" fontId="28" fillId="0" borderId="0" xfId="0" applyFont="1"/>
    <xf numFmtId="3" fontId="30" fillId="0" borderId="64" xfId="14" applyNumberFormat="1"/>
    <xf numFmtId="9" fontId="28" fillId="0" borderId="0" xfId="6" applyFont="1"/>
    <xf numFmtId="0" fontId="30" fillId="44" borderId="124" xfId="0" applyFont="1" applyFill="1" applyBorder="1" applyAlignment="1">
      <alignment horizontal="left"/>
    </xf>
    <xf numFmtId="3" fontId="28" fillId="0" borderId="0" xfId="0" applyNumberFormat="1" applyFont="1"/>
    <xf numFmtId="3" fontId="30" fillId="44" borderId="124" xfId="0" applyNumberFormat="1" applyFont="1" applyFill="1" applyBorder="1"/>
    <xf numFmtId="0" fontId="2" fillId="0" borderId="0" xfId="0" applyFont="1" applyAlignment="1">
      <alignment horizontal="left"/>
    </xf>
    <xf numFmtId="173" fontId="2" fillId="0" borderId="0" xfId="0" applyNumberFormat="1" applyFont="1"/>
    <xf numFmtId="4" fontId="28" fillId="0" borderId="0" xfId="6" applyNumberFormat="1" applyFont="1"/>
    <xf numFmtId="4" fontId="28" fillId="33" borderId="0" xfId="4" applyNumberFormat="1" applyFill="1"/>
    <xf numFmtId="3" fontId="28" fillId="33" borderId="0" xfId="1" applyNumberFormat="1" applyFont="1" applyFill="1"/>
    <xf numFmtId="3" fontId="28" fillId="33" borderId="0" xfId="4" applyNumberFormat="1" applyFill="1"/>
    <xf numFmtId="14" fontId="97" fillId="36" borderId="0" xfId="23" applyNumberFormat="1" applyFont="1" applyFill="1" applyAlignment="1">
      <alignment horizontal="center" vertical="center"/>
    </xf>
    <xf numFmtId="4" fontId="0" fillId="0" borderId="0" xfId="0" applyNumberFormat="1"/>
    <xf numFmtId="166" fontId="0" fillId="0" borderId="0" xfId="0" applyNumberFormat="1"/>
    <xf numFmtId="14" fontId="6" fillId="0" borderId="0" xfId="0" applyNumberFormat="1" applyFont="1"/>
    <xf numFmtId="4" fontId="6" fillId="0" borderId="0" xfId="0" applyNumberFormat="1" applyFont="1"/>
    <xf numFmtId="166" fontId="6" fillId="0" borderId="0" xfId="0" applyNumberFormat="1" applyFont="1"/>
    <xf numFmtId="0" fontId="52" fillId="0" borderId="0" xfId="7" applyFont="1" applyAlignment="1" applyProtection="1">
      <alignment horizontal="center"/>
    </xf>
    <xf numFmtId="180" fontId="52" fillId="0" borderId="0" xfId="8" applyNumberFormat="1" applyFont="1"/>
    <xf numFmtId="0" fontId="60" fillId="19" borderId="125" xfId="7" applyFont="1" applyFill="1" applyBorder="1" applyAlignment="1" applyProtection="1">
      <alignment horizontal="center" vertical="center" wrapText="1"/>
    </xf>
    <xf numFmtId="0" fontId="60" fillId="19" borderId="126" xfId="7" applyFont="1" applyFill="1" applyBorder="1" applyAlignment="1" applyProtection="1">
      <alignment horizontal="center" vertical="center" wrapText="1"/>
    </xf>
    <xf numFmtId="0" fontId="60" fillId="19" borderId="127" xfId="7" applyFont="1" applyFill="1" applyBorder="1" applyAlignment="1" applyProtection="1">
      <alignment horizontal="center" vertical="center" wrapText="1"/>
    </xf>
    <xf numFmtId="180" fontId="60" fillId="19" borderId="127" xfId="8" applyNumberFormat="1" applyFont="1" applyFill="1" applyBorder="1" applyAlignment="1">
      <alignment horizontal="center" vertical="center" wrapText="1"/>
    </xf>
    <xf numFmtId="0" fontId="60" fillId="19" borderId="128" xfId="7" applyFont="1" applyFill="1" applyBorder="1" applyAlignment="1" applyProtection="1">
      <alignment horizontal="center" vertical="center" wrapText="1"/>
    </xf>
    <xf numFmtId="0" fontId="60" fillId="17" borderId="129" xfId="7" applyFont="1" applyFill="1" applyBorder="1" applyAlignment="1" applyProtection="1">
      <alignment horizontal="center" vertical="center" wrapText="1"/>
    </xf>
    <xf numFmtId="0" fontId="52" fillId="0" borderId="0" xfId="7" applyFont="1" applyAlignment="1" applyProtection="1">
      <alignment vertical="center"/>
    </xf>
    <xf numFmtId="174" fontId="52" fillId="0" borderId="0" xfId="7" applyNumberFormat="1" applyFont="1" applyAlignment="1" applyProtection="1">
      <alignment vertical="center"/>
    </xf>
    <xf numFmtId="0" fontId="60" fillId="17" borderId="125" xfId="7" applyFont="1" applyFill="1" applyBorder="1" applyAlignment="1" applyProtection="1">
      <alignment horizontal="center" vertical="center" wrapText="1"/>
    </xf>
    <xf numFmtId="180" fontId="60" fillId="0" borderId="0" xfId="8" applyNumberFormat="1" applyFont="1" applyFill="1"/>
    <xf numFmtId="180" fontId="60" fillId="0" borderId="0" xfId="8" applyNumberFormat="1" applyFont="1" applyAlignment="1">
      <alignment horizontal="right"/>
    </xf>
    <xf numFmtId="180" fontId="60" fillId="0" borderId="0" xfId="8" applyNumberFormat="1" applyFont="1"/>
    <xf numFmtId="0" fontId="60" fillId="0" borderId="0" xfId="7" applyFont="1" applyAlignment="1" applyProtection="1">
      <alignment horizontal="right"/>
    </xf>
    <xf numFmtId="180" fontId="60" fillId="59" borderId="0" xfId="8" applyNumberFormat="1" applyFont="1" applyFill="1"/>
    <xf numFmtId="180" fontId="134" fillId="59" borderId="0" xfId="8" applyNumberFormat="1" applyFont="1" applyFill="1"/>
    <xf numFmtId="180" fontId="60" fillId="0" borderId="0" xfId="7" applyNumberFormat="1" applyFont="1" applyProtection="1"/>
    <xf numFmtId="0" fontId="60" fillId="0" borderId="0" xfId="7" applyFont="1" applyProtection="1"/>
    <xf numFmtId="180" fontId="52" fillId="0" borderId="131" xfId="8" applyNumberFormat="1" applyFont="1" applyFill="1" applyBorder="1" applyAlignment="1">
      <alignment horizontal="center" vertical="center"/>
    </xf>
    <xf numFmtId="0" fontId="52" fillId="0" borderId="131" xfId="7" applyFont="1" applyBorder="1" applyAlignment="1" applyProtection="1">
      <alignment horizontal="center" vertical="center" wrapText="1"/>
    </xf>
    <xf numFmtId="175" fontId="52" fillId="0" borderId="131" xfId="7" applyNumberFormat="1" applyFont="1" applyBorder="1" applyAlignment="1" applyProtection="1">
      <alignment horizontal="center" vertical="center" wrapText="1"/>
    </xf>
    <xf numFmtId="0" fontId="52" fillId="0" borderId="131" xfId="7" applyFont="1" applyBorder="1" applyAlignment="1" applyProtection="1">
      <alignment horizontal="center" vertical="center"/>
    </xf>
    <xf numFmtId="14" fontId="52" fillId="0" borderId="132" xfId="7" applyNumberFormat="1" applyFont="1" applyBorder="1" applyAlignment="1" applyProtection="1">
      <alignment horizontal="center" vertical="center" wrapText="1"/>
    </xf>
    <xf numFmtId="180" fontId="133" fillId="0" borderId="131" xfId="8" applyNumberFormat="1" applyFont="1" applyFill="1" applyBorder="1" applyAlignment="1">
      <alignment horizontal="center" vertical="center"/>
    </xf>
    <xf numFmtId="180" fontId="52" fillId="33" borderId="131" xfId="8" applyNumberFormat="1" applyFont="1" applyFill="1" applyBorder="1" applyAlignment="1">
      <alignment horizontal="center" vertical="center"/>
    </xf>
    <xf numFmtId="0" fontId="60" fillId="60" borderId="125" xfId="7" applyFont="1" applyFill="1" applyBorder="1" applyAlignment="1" applyProtection="1">
      <alignment horizontal="center" vertical="center" wrapText="1"/>
    </xf>
    <xf numFmtId="180" fontId="133" fillId="33" borderId="131" xfId="8" applyNumberFormat="1" applyFont="1" applyFill="1" applyBorder="1" applyAlignment="1">
      <alignment horizontal="center" vertical="center"/>
    </xf>
    <xf numFmtId="172" fontId="51" fillId="0" borderId="0" xfId="7" applyNumberFormat="1" applyFont="1" applyBorder="1" applyAlignment="1" applyProtection="1">
      <alignment vertical="center"/>
    </xf>
    <xf numFmtId="0" fontId="137" fillId="0" borderId="31" xfId="13" applyFont="1" applyBorder="1" applyAlignment="1">
      <alignment vertical="center"/>
    </xf>
    <xf numFmtId="0" fontId="64" fillId="0" borderId="43" xfId="13" applyFont="1" applyBorder="1" applyAlignment="1">
      <alignment horizontal="center" vertical="center"/>
    </xf>
    <xf numFmtId="3" fontId="64" fillId="0" borderId="31" xfId="13" applyNumberFormat="1" applyFont="1" applyBorder="1" applyAlignment="1">
      <alignment vertical="center"/>
    </xf>
    <xf numFmtId="3" fontId="64" fillId="0" borderId="31" xfId="13" applyNumberFormat="1" applyFont="1" applyBorder="1" applyAlignment="1" applyProtection="1">
      <alignment vertical="center"/>
      <protection locked="0"/>
    </xf>
    <xf numFmtId="0" fontId="138" fillId="0" borderId="31" xfId="13" applyFont="1" applyBorder="1"/>
    <xf numFmtId="3" fontId="138" fillId="0" borderId="31" xfId="13" applyNumberFormat="1" applyFont="1" applyBorder="1"/>
    <xf numFmtId="3" fontId="64" fillId="29" borderId="31" xfId="13" applyNumberFormat="1" applyFont="1" applyFill="1" applyBorder="1" applyProtection="1">
      <protection locked="0"/>
    </xf>
    <xf numFmtId="3" fontId="64" fillId="29" borderId="31" xfId="13" applyNumberFormat="1" applyFont="1" applyFill="1" applyBorder="1" applyAlignment="1" applyProtection="1">
      <alignment vertical="center"/>
      <protection locked="0"/>
    </xf>
    <xf numFmtId="0" fontId="64" fillId="0" borderId="31" xfId="13" applyFont="1" applyBorder="1"/>
    <xf numFmtId="0" fontId="138" fillId="0" borderId="31" xfId="13" applyFont="1" applyBorder="1" applyAlignment="1">
      <alignment horizontal="center"/>
    </xf>
    <xf numFmtId="0" fontId="137" fillId="0" borderId="31" xfId="13" applyFont="1" applyBorder="1" applyAlignment="1">
      <alignment horizontal="right" vertical="center"/>
    </xf>
    <xf numFmtId="0" fontId="139" fillId="0" borderId="31" xfId="13" applyFont="1" applyBorder="1" applyAlignment="1">
      <alignment horizontal="center"/>
    </xf>
    <xf numFmtId="0" fontId="137" fillId="0" borderId="43" xfId="13" applyFont="1" applyBorder="1" applyAlignment="1">
      <alignment horizontal="center" vertical="center"/>
    </xf>
    <xf numFmtId="3" fontId="140" fillId="0" borderId="31" xfId="13" applyNumberFormat="1" applyFont="1" applyBorder="1" applyAlignment="1">
      <alignment vertical="center"/>
    </xf>
    <xf numFmtId="173" fontId="96" fillId="0" borderId="0" xfId="26" applyNumberFormat="1" applyFont="1" applyBorder="1" applyAlignment="1"/>
    <xf numFmtId="173" fontId="96" fillId="0" borderId="0" xfId="26" applyNumberFormat="1" applyFont="1" applyBorder="1" applyAlignment="1">
      <alignment vertical="center"/>
    </xf>
    <xf numFmtId="0" fontId="96" fillId="0" borderId="100" xfId="25" applyFont="1" applyBorder="1" applyAlignment="1">
      <alignment vertical="center"/>
    </xf>
    <xf numFmtId="173" fontId="96" fillId="0" borderId="0" xfId="46" applyNumberFormat="1" applyFont="1" applyBorder="1" applyAlignment="1">
      <alignment vertical="center"/>
    </xf>
    <xf numFmtId="0" fontId="96" fillId="0" borderId="101" xfId="25" applyFont="1" applyBorder="1" applyAlignment="1">
      <alignment vertical="center"/>
    </xf>
    <xf numFmtId="0" fontId="97" fillId="35" borderId="0" xfId="20" applyFont="1" applyFill="1" applyAlignment="1">
      <alignment horizontal="left" vertical="center"/>
    </xf>
    <xf numFmtId="43" fontId="29" fillId="0" borderId="0" xfId="4" applyNumberFormat="1" applyFont="1"/>
    <xf numFmtId="166" fontId="29" fillId="0" borderId="0" xfId="2" applyNumberFormat="1" applyFont="1"/>
    <xf numFmtId="3" fontId="142" fillId="0" borderId="0" xfId="20" applyNumberFormat="1" applyFont="1" applyAlignment="1">
      <alignment vertical="center"/>
    </xf>
    <xf numFmtId="0" fontId="33" fillId="0" borderId="0" xfId="20" applyFont="1" applyAlignment="1">
      <alignment vertical="center"/>
    </xf>
    <xf numFmtId="166" fontId="142" fillId="0" borderId="0" xfId="2" applyNumberFormat="1" applyFont="1" applyFill="1" applyBorder="1" applyAlignment="1">
      <alignment vertical="center"/>
    </xf>
    <xf numFmtId="179" fontId="66" fillId="0" borderId="133" xfId="1" applyNumberFormat="1" applyFont="1" applyBorder="1" applyAlignment="1">
      <alignment wrapText="1"/>
    </xf>
    <xf numFmtId="0" fontId="29" fillId="2" borderId="13" xfId="4" applyFont="1" applyFill="1" applyBorder="1" applyAlignment="1">
      <alignment horizontal="center"/>
    </xf>
    <xf numFmtId="0" fontId="29" fillId="2" borderId="29" xfId="4" applyFont="1" applyFill="1" applyBorder="1"/>
    <xf numFmtId="0" fontId="29" fillId="2" borderId="30" xfId="4" applyFont="1" applyFill="1" applyBorder="1"/>
    <xf numFmtId="0" fontId="29" fillId="2" borderId="0" xfId="4" applyFont="1" applyFill="1" applyAlignment="1">
      <alignment horizontal="center"/>
    </xf>
    <xf numFmtId="14" fontId="15" fillId="33" borderId="1" xfId="0" applyNumberFormat="1" applyFont="1" applyFill="1" applyBorder="1" applyAlignment="1">
      <alignment horizontal="center"/>
    </xf>
    <xf numFmtId="14" fontId="15" fillId="23" borderId="0" xfId="0" applyNumberFormat="1" applyFont="1" applyFill="1" applyAlignment="1">
      <alignment horizontal="center"/>
    </xf>
    <xf numFmtId="170" fontId="130" fillId="0" borderId="7" xfId="4" applyNumberFormat="1" applyFont="1" applyBorder="1"/>
    <xf numFmtId="170" fontId="28" fillId="33" borderId="6" xfId="4" applyNumberFormat="1" applyFill="1" applyBorder="1"/>
    <xf numFmtId="170" fontId="28" fillId="33" borderId="7" xfId="4" applyNumberFormat="1" applyFill="1" applyBorder="1"/>
    <xf numFmtId="170" fontId="28" fillId="0" borderId="0" xfId="4" applyNumberFormat="1"/>
    <xf numFmtId="170" fontId="29" fillId="0" borderId="0" xfId="1" applyNumberFormat="1" applyFont="1" applyBorder="1"/>
    <xf numFmtId="170" fontId="28" fillId="0" borderId="0" xfId="1" applyNumberFormat="1" applyFont="1" applyBorder="1"/>
    <xf numFmtId="170" fontId="29" fillId="23" borderId="0" xfId="1" applyNumberFormat="1" applyFont="1" applyFill="1" applyBorder="1"/>
    <xf numFmtId="190" fontId="28" fillId="0" borderId="0" xfId="4" applyNumberFormat="1"/>
    <xf numFmtId="0" fontId="28" fillId="32" borderId="0" xfId="4" applyFill="1"/>
    <xf numFmtId="0" fontId="1" fillId="0" borderId="31" xfId="0" applyFont="1" applyBorder="1" applyAlignment="1">
      <alignment horizontal="left"/>
    </xf>
    <xf numFmtId="173" fontId="1" fillId="0" borderId="31" xfId="56" applyNumberFormat="1" applyFont="1" applyBorder="1"/>
    <xf numFmtId="173" fontId="1" fillId="32" borderId="31" xfId="56" applyNumberFormat="1" applyFont="1" applyFill="1" applyBorder="1"/>
    <xf numFmtId="0" fontId="1" fillId="27" borderId="31" xfId="0" applyFont="1" applyFill="1" applyBorder="1" applyAlignment="1">
      <alignment horizontal="left"/>
    </xf>
    <xf numFmtId="173" fontId="15" fillId="0" borderId="31" xfId="56" applyNumberFormat="1" applyFont="1" applyBorder="1"/>
    <xf numFmtId="173" fontId="15" fillId="32" borderId="31" xfId="56" applyNumberFormat="1" applyFont="1" applyFill="1" applyBorder="1"/>
    <xf numFmtId="0" fontId="1" fillId="0" borderId="0" xfId="4" applyFont="1"/>
    <xf numFmtId="173" fontId="15" fillId="5" borderId="31" xfId="56" applyNumberFormat="1" applyFont="1" applyFill="1" applyBorder="1"/>
    <xf numFmtId="0" fontId="28" fillId="33" borderId="0" xfId="4" applyFill="1"/>
    <xf numFmtId="173" fontId="0" fillId="22" borderId="0" xfId="1" applyNumberFormat="1" applyFont="1" applyFill="1" applyBorder="1"/>
    <xf numFmtId="173" fontId="28" fillId="0" borderId="31" xfId="1" applyNumberFormat="1" applyFont="1" applyBorder="1"/>
    <xf numFmtId="173" fontId="0" fillId="21" borderId="0" xfId="1" applyNumberFormat="1" applyFont="1" applyFill="1" applyBorder="1"/>
    <xf numFmtId="191" fontId="28" fillId="0" borderId="0" xfId="4" applyNumberFormat="1"/>
    <xf numFmtId="170" fontId="28" fillId="33" borderId="0" xfId="4" applyNumberFormat="1" applyFill="1"/>
    <xf numFmtId="170" fontId="28" fillId="33" borderId="0" xfId="1" applyNumberFormat="1" applyFont="1" applyFill="1" applyBorder="1"/>
    <xf numFmtId="170" fontId="28" fillId="45" borderId="0" xfId="1" applyNumberFormat="1" applyFont="1" applyFill="1" applyBorder="1"/>
    <xf numFmtId="3" fontId="144" fillId="0" borderId="0" xfId="20" applyNumberFormat="1" applyFont="1" applyAlignment="1">
      <alignment vertical="center"/>
    </xf>
    <xf numFmtId="172" fontId="51" fillId="61" borderId="0" xfId="7" applyNumberFormat="1" applyFont="1" applyFill="1" applyProtection="1"/>
    <xf numFmtId="43" fontId="51" fillId="61" borderId="0" xfId="7" applyNumberFormat="1" applyFont="1" applyFill="1" applyProtection="1"/>
    <xf numFmtId="3" fontId="51" fillId="33" borderId="0" xfId="7" applyNumberFormat="1" applyFont="1" applyFill="1" applyProtection="1"/>
    <xf numFmtId="0" fontId="147" fillId="0" borderId="0" xfId="0" applyFont="1"/>
    <xf numFmtId="3" fontId="43" fillId="45" borderId="40" xfId="57" applyNumberFormat="1" applyFont="1" applyFill="1" applyBorder="1" applyAlignment="1">
      <alignment horizontal="right"/>
    </xf>
    <xf numFmtId="3" fontId="43" fillId="0" borderId="40" xfId="57" applyNumberFormat="1" applyFont="1" applyBorder="1" applyAlignment="1">
      <alignment horizontal="left"/>
    </xf>
    <xf numFmtId="0" fontId="43" fillId="21" borderId="0" xfId="12" applyFont="1" applyFill="1"/>
    <xf numFmtId="3" fontId="43" fillId="0" borderId="40" xfId="57" applyNumberFormat="1" applyFont="1" applyBorder="1" applyAlignment="1">
      <alignment horizontal="right"/>
    </xf>
    <xf numFmtId="4" fontId="28" fillId="0" borderId="16" xfId="4" applyNumberFormat="1" applyBorder="1"/>
    <xf numFmtId="9" fontId="28" fillId="0" borderId="17" xfId="2" applyFont="1" applyBorder="1"/>
    <xf numFmtId="9" fontId="28" fillId="0" borderId="7" xfId="2" applyFont="1" applyBorder="1"/>
    <xf numFmtId="4" fontId="28" fillId="0" borderId="13" xfId="4" applyNumberFormat="1" applyBorder="1"/>
    <xf numFmtId="9" fontId="28" fillId="0" borderId="14" xfId="2" applyFont="1" applyBorder="1"/>
    <xf numFmtId="4" fontId="28" fillId="0" borderId="15" xfId="4" applyNumberFormat="1" applyBorder="1"/>
    <xf numFmtId="4" fontId="28" fillId="0" borderId="6" xfId="4" applyNumberFormat="1" applyBorder="1"/>
    <xf numFmtId="4" fontId="28" fillId="0" borderId="12" xfId="4" applyNumberFormat="1" applyBorder="1"/>
    <xf numFmtId="0" fontId="28" fillId="0" borderId="134" xfId="4" applyBorder="1"/>
    <xf numFmtId="0" fontId="28" fillId="0" borderId="38" xfId="4" applyBorder="1"/>
    <xf numFmtId="173" fontId="43" fillId="0" borderId="40" xfId="1" applyNumberFormat="1" applyFont="1" applyBorder="1"/>
    <xf numFmtId="173" fontId="43" fillId="27" borderId="40" xfId="1" applyNumberFormat="1" applyFont="1" applyFill="1" applyBorder="1"/>
    <xf numFmtId="173" fontId="42" fillId="0" borderId="0" xfId="1" applyNumberFormat="1" applyFont="1"/>
    <xf numFmtId="173" fontId="147" fillId="0" borderId="0" xfId="1" applyNumberFormat="1" applyFont="1"/>
    <xf numFmtId="173" fontId="45" fillId="0" borderId="0" xfId="1" applyNumberFormat="1" applyFont="1"/>
    <xf numFmtId="173" fontId="45" fillId="11" borderId="0" xfId="1" applyNumberFormat="1" applyFont="1" applyFill="1"/>
    <xf numFmtId="14" fontId="51" fillId="12" borderId="135" xfId="7" applyNumberFormat="1" applyFont="1" applyFill="1" applyBorder="1" applyAlignment="1" applyProtection="1">
      <alignment horizontal="center" vertical="center" wrapText="1"/>
    </xf>
    <xf numFmtId="14" fontId="51" fillId="12" borderId="46" xfId="7" applyNumberFormat="1" applyFont="1" applyFill="1" applyBorder="1" applyAlignment="1" applyProtection="1">
      <alignment horizontal="center" vertical="center" wrapText="1"/>
    </xf>
    <xf numFmtId="17" fontId="147" fillId="0" borderId="0" xfId="0" applyNumberFormat="1" applyFont="1"/>
    <xf numFmtId="179" fontId="66" fillId="27" borderId="31" xfId="1" applyNumberFormat="1" applyFont="1" applyFill="1" applyBorder="1" applyAlignment="1">
      <alignment wrapText="1"/>
    </xf>
    <xf numFmtId="179" fontId="66" fillId="27" borderId="86" xfId="1" applyNumberFormat="1" applyFont="1" applyFill="1" applyBorder="1" applyAlignment="1">
      <alignment wrapText="1"/>
    </xf>
    <xf numFmtId="14" fontId="15" fillId="23" borderId="29" xfId="0" applyNumberFormat="1" applyFont="1" applyFill="1" applyBorder="1" applyAlignment="1">
      <alignment horizontal="center"/>
    </xf>
    <xf numFmtId="0" fontId="15" fillId="23" borderId="30" xfId="0" applyFont="1" applyFill="1" applyBorder="1" applyAlignment="1">
      <alignment horizontal="center"/>
    </xf>
    <xf numFmtId="172" fontId="51" fillId="0" borderId="0" xfId="7" applyNumberFormat="1" applyFont="1" applyAlignment="1" applyProtection="1">
      <alignment vertical="center"/>
    </xf>
    <xf numFmtId="0" fontId="148" fillId="0" borderId="0" xfId="7" applyFont="1" applyProtection="1"/>
    <xf numFmtId="172" fontId="148" fillId="0" borderId="0" xfId="7" applyNumberFormat="1" applyFont="1" applyAlignment="1" applyProtection="1">
      <alignment vertical="center"/>
    </xf>
    <xf numFmtId="0" fontId="148" fillId="0" borderId="0" xfId="7" applyFont="1" applyAlignment="1" applyProtection="1">
      <alignment vertical="center"/>
    </xf>
    <xf numFmtId="172" fontId="148" fillId="0" borderId="0" xfId="7" applyNumberFormat="1" applyFont="1" applyProtection="1"/>
    <xf numFmtId="179" fontId="0" fillId="0" borderId="0" xfId="1" applyNumberFormat="1" applyFont="1"/>
    <xf numFmtId="190" fontId="0" fillId="0" borderId="0" xfId="0" applyNumberFormat="1"/>
    <xf numFmtId="164" fontId="19" fillId="11" borderId="0" xfId="0" applyNumberFormat="1" applyFont="1" applyFill="1"/>
    <xf numFmtId="3" fontId="19" fillId="11" borderId="0" xfId="0" applyNumberFormat="1" applyFont="1" applyFill="1"/>
    <xf numFmtId="3" fontId="106" fillId="0" borderId="1" xfId="20" applyNumberFormat="1" applyFont="1" applyBorder="1" applyAlignment="1">
      <alignment vertical="center"/>
    </xf>
    <xf numFmtId="166" fontId="106" fillId="0" borderId="1" xfId="22" applyNumberFormat="1" applyFont="1" applyFill="1" applyBorder="1" applyAlignment="1">
      <alignment vertical="center"/>
    </xf>
    <xf numFmtId="173" fontId="110" fillId="0" borderId="108" xfId="1" applyNumberFormat="1" applyFont="1" applyFill="1" applyBorder="1" applyAlignment="1">
      <alignment vertical="center"/>
    </xf>
    <xf numFmtId="173" fontId="110" fillId="42" borderId="110" xfId="1" applyNumberFormat="1" applyFont="1" applyFill="1" applyBorder="1" applyAlignment="1">
      <alignment vertical="center"/>
    </xf>
    <xf numFmtId="0" fontId="110" fillId="35" borderId="0" xfId="20" applyFont="1" applyFill="1" applyAlignment="1">
      <alignment horizontal="left" vertical="center"/>
    </xf>
    <xf numFmtId="3" fontId="33" fillId="45" borderId="40" xfId="57" applyNumberFormat="1" applyFont="1" applyFill="1" applyBorder="1" applyAlignment="1">
      <alignment horizontal="right"/>
    </xf>
    <xf numFmtId="3" fontId="33" fillId="0" borderId="40" xfId="57" applyNumberFormat="1" applyFont="1" applyBorder="1" applyAlignment="1">
      <alignment horizontal="left"/>
    </xf>
    <xf numFmtId="177" fontId="33" fillId="0" borderId="40" xfId="12" applyNumberFormat="1" applyFont="1" applyBorder="1"/>
    <xf numFmtId="3" fontId="33" fillId="0" borderId="40" xfId="57" applyNumberFormat="1" applyFont="1" applyBorder="1" applyAlignment="1">
      <alignment horizontal="right"/>
    </xf>
    <xf numFmtId="0" fontId="142" fillId="0" borderId="0" xfId="20" applyFont="1"/>
    <xf numFmtId="177" fontId="33" fillId="27" borderId="40" xfId="12" applyNumberFormat="1" applyFont="1" applyFill="1" applyBorder="1"/>
    <xf numFmtId="0" fontId="0" fillId="0" borderId="136" xfId="0" applyBorder="1"/>
    <xf numFmtId="0" fontId="0" fillId="0" borderId="137" xfId="0" applyBorder="1"/>
    <xf numFmtId="0" fontId="0" fillId="0" borderId="138" xfId="0" applyBorder="1"/>
    <xf numFmtId="0" fontId="0" fillId="0" borderId="139" xfId="0" applyBorder="1"/>
    <xf numFmtId="0" fontId="0" fillId="0" borderId="140" xfId="0" applyBorder="1"/>
    <xf numFmtId="10" fontId="0" fillId="0" borderId="0" xfId="2" applyNumberFormat="1" applyFont="1"/>
    <xf numFmtId="0" fontId="0" fillId="0" borderId="141" xfId="0" applyBorder="1"/>
    <xf numFmtId="4" fontId="0" fillId="0" borderId="142" xfId="0" applyNumberFormat="1" applyBorder="1"/>
    <xf numFmtId="0" fontId="0" fillId="0" borderId="143" xfId="0" applyBorder="1"/>
    <xf numFmtId="4" fontId="0" fillId="0" borderId="138" xfId="0" applyNumberFormat="1" applyBorder="1"/>
    <xf numFmtId="4" fontId="0" fillId="0" borderId="143" xfId="0" applyNumberFormat="1" applyBorder="1"/>
    <xf numFmtId="4" fontId="28" fillId="0" borderId="0" xfId="0" applyNumberFormat="1" applyFont="1"/>
    <xf numFmtId="0" fontId="151" fillId="25" borderId="0" xfId="11" applyFont="1" applyFill="1" applyAlignment="1">
      <alignment horizontal="center" vertical="center" wrapText="1"/>
    </xf>
    <xf numFmtId="0" fontId="151" fillId="25" borderId="0" xfId="11" applyFont="1" applyFill="1" applyAlignment="1">
      <alignment horizontal="left" vertical="center" wrapText="1"/>
    </xf>
    <xf numFmtId="177" fontId="151" fillId="25" borderId="0" xfId="11" applyNumberFormat="1" applyFont="1" applyFill="1" applyAlignment="1">
      <alignment horizontal="center" vertical="center" wrapText="1"/>
    </xf>
    <xf numFmtId="3" fontId="130" fillId="0" borderId="40" xfId="57" applyNumberFormat="1" applyFont="1" applyBorder="1" applyAlignment="1">
      <alignment horizontal="left"/>
    </xf>
    <xf numFmtId="4" fontId="67" fillId="0" borderId="0" xfId="0" applyNumberFormat="1" applyFont="1"/>
    <xf numFmtId="3" fontId="43" fillId="62" borderId="40" xfId="57" applyNumberFormat="1" applyFont="1" applyFill="1" applyBorder="1" applyAlignment="1">
      <alignment horizontal="right"/>
    </xf>
    <xf numFmtId="3" fontId="130" fillId="63" borderId="40" xfId="57" applyNumberFormat="1" applyFont="1" applyFill="1" applyBorder="1" applyAlignment="1">
      <alignment horizontal="right"/>
    </xf>
    <xf numFmtId="3" fontId="130" fillId="63" borderId="40" xfId="12" applyNumberFormat="1" applyFont="1" applyFill="1" applyBorder="1"/>
    <xf numFmtId="3" fontId="28" fillId="63" borderId="0" xfId="0" applyNumberFormat="1" applyFont="1" applyFill="1"/>
    <xf numFmtId="0" fontId="6" fillId="44" borderId="115" xfId="0" applyFont="1" applyFill="1" applyBorder="1" applyAlignment="1">
      <alignment horizontal="center"/>
    </xf>
    <xf numFmtId="14" fontId="6" fillId="44" borderId="115" xfId="0" applyNumberFormat="1" applyFont="1" applyFill="1" applyBorder="1" applyAlignment="1">
      <alignment horizontal="center"/>
    </xf>
    <xf numFmtId="0" fontId="28" fillId="0" borderId="0" xfId="0" applyFont="1" applyAlignment="1">
      <alignment horizontal="center"/>
    </xf>
    <xf numFmtId="9" fontId="28" fillId="63" borderId="0" xfId="2" applyFont="1" applyFill="1"/>
    <xf numFmtId="3" fontId="130" fillId="35" borderId="40" xfId="12" applyNumberFormat="1" applyFont="1" applyFill="1" applyBorder="1"/>
    <xf numFmtId="3" fontId="28" fillId="35" borderId="0" xfId="0" applyNumberFormat="1" applyFont="1" applyFill="1"/>
    <xf numFmtId="9" fontId="152" fillId="0" borderId="0" xfId="2" applyFont="1"/>
    <xf numFmtId="0" fontId="15" fillId="11" borderId="0" xfId="0" applyFont="1" applyFill="1" applyAlignment="1">
      <alignment horizontal="left"/>
    </xf>
    <xf numFmtId="0" fontId="15" fillId="0" borderId="0" xfId="0" applyFont="1"/>
    <xf numFmtId="10" fontId="0" fillId="0" borderId="0" xfId="0" applyNumberFormat="1"/>
    <xf numFmtId="43" fontId="0" fillId="0" borderId="15" xfId="1" applyFont="1" applyBorder="1"/>
    <xf numFmtId="43" fontId="0" fillId="0" borderId="6" xfId="1" applyFont="1" applyBorder="1"/>
    <xf numFmtId="4" fontId="0" fillId="0" borderId="7" xfId="1" applyNumberFormat="1" applyFont="1" applyBorder="1"/>
    <xf numFmtId="43" fontId="0" fillId="0" borderId="12" xfId="1" applyFont="1" applyBorder="1"/>
    <xf numFmtId="9" fontId="15" fillId="0" borderId="14" xfId="2" applyFont="1" applyBorder="1"/>
    <xf numFmtId="173" fontId="15" fillId="0" borderId="0" xfId="1" applyNumberFormat="1" applyFont="1" applyFill="1"/>
    <xf numFmtId="173" fontId="0" fillId="0" borderId="0" xfId="1" applyNumberFormat="1" applyFont="1" applyBorder="1"/>
    <xf numFmtId="173" fontId="0" fillId="0" borderId="140" xfId="1" applyNumberFormat="1" applyFont="1" applyBorder="1"/>
    <xf numFmtId="173" fontId="0" fillId="0" borderId="142" xfId="1" applyNumberFormat="1" applyFont="1" applyBorder="1"/>
    <xf numFmtId="173" fontId="0" fillId="0" borderId="143" xfId="1" applyNumberFormat="1" applyFont="1" applyBorder="1"/>
    <xf numFmtId="4" fontId="0" fillId="0" borderId="17" xfId="1" applyNumberFormat="1" applyFont="1" applyBorder="1"/>
    <xf numFmtId="43" fontId="15" fillId="33" borderId="144" xfId="1" applyFont="1" applyFill="1" applyBorder="1"/>
    <xf numFmtId="0" fontId="6" fillId="5" borderId="145" xfId="0" applyFont="1" applyFill="1" applyBorder="1" applyAlignment="1">
      <alignment horizontal="center" vertical="center"/>
    </xf>
    <xf numFmtId="0" fontId="6" fillId="5" borderId="146" xfId="0" applyFont="1" applyFill="1" applyBorder="1" applyAlignment="1">
      <alignment horizontal="center" vertical="center"/>
    </xf>
    <xf numFmtId="0" fontId="6" fillId="5" borderId="144" xfId="0" applyFont="1" applyFill="1" applyBorder="1"/>
    <xf numFmtId="0" fontId="0" fillId="0" borderId="147" xfId="0" applyBorder="1"/>
    <xf numFmtId="0" fontId="0" fillId="0" borderId="148" xfId="0" applyBorder="1"/>
    <xf numFmtId="0" fontId="28" fillId="33" borderId="0" xfId="0" applyFont="1" applyFill="1"/>
    <xf numFmtId="0" fontId="28" fillId="62" borderId="0" xfId="0" applyFont="1" applyFill="1"/>
    <xf numFmtId="179" fontId="28" fillId="0" borderId="0" xfId="0" applyNumberFormat="1" applyFont="1"/>
    <xf numFmtId="43" fontId="28" fillId="0" borderId="0" xfId="0" applyNumberFormat="1" applyFont="1"/>
    <xf numFmtId="0" fontId="151" fillId="0" borderId="0" xfId="0" applyFont="1" applyAlignment="1">
      <alignment horizontal="center" vertical="center" wrapText="1"/>
    </xf>
    <xf numFmtId="193" fontId="151" fillId="61" borderId="0" xfId="49" applyNumberFormat="1" applyFont="1" applyFill="1" applyAlignment="1">
      <alignment horizontal="center" vertical="center" wrapText="1"/>
    </xf>
    <xf numFmtId="0" fontId="151" fillId="33" borderId="0" xfId="0" applyFont="1" applyFill="1" applyAlignment="1">
      <alignment horizontal="center" vertical="center" wrapText="1"/>
    </xf>
    <xf numFmtId="0" fontId="151" fillId="62" borderId="0" xfId="0" applyFont="1" applyFill="1" applyAlignment="1">
      <alignment horizontal="center" vertical="center" wrapText="1"/>
    </xf>
    <xf numFmtId="193" fontId="130" fillId="0" borderId="0" xfId="49" applyNumberFormat="1" applyFont="1"/>
    <xf numFmtId="193" fontId="130" fillId="0" borderId="0" xfId="49" applyNumberFormat="1" applyFont="1" applyAlignment="1">
      <alignment horizontal="right" vertical="center"/>
    </xf>
    <xf numFmtId="10" fontId="130" fillId="0" borderId="0" xfId="44" applyNumberFormat="1" applyFont="1"/>
    <xf numFmtId="43" fontId="130" fillId="0" borderId="0" xfId="53" applyFont="1"/>
    <xf numFmtId="9" fontId="130" fillId="0" borderId="0" xfId="44" applyFont="1"/>
    <xf numFmtId="173" fontId="130" fillId="0" borderId="0" xfId="53" applyNumberFormat="1" applyFont="1"/>
    <xf numFmtId="190" fontId="130" fillId="0" borderId="0" xfId="49" applyNumberFormat="1" applyFont="1"/>
    <xf numFmtId="0" fontId="130" fillId="0" borderId="0" xfId="49" applyFont="1"/>
    <xf numFmtId="0" fontId="130" fillId="0" borderId="0" xfId="0" applyFont="1"/>
    <xf numFmtId="0" fontId="151" fillId="33" borderId="0" xfId="0" applyFont="1" applyFill="1"/>
    <xf numFmtId="0" fontId="151" fillId="62" borderId="0" xfId="0" applyFont="1" applyFill="1"/>
    <xf numFmtId="43" fontId="151" fillId="33" borderId="0" xfId="0" applyNumberFormat="1" applyFont="1" applyFill="1"/>
    <xf numFmtId="43" fontId="151" fillId="62" borderId="0" xfId="0" applyNumberFormat="1" applyFont="1" applyFill="1"/>
    <xf numFmtId="10" fontId="151" fillId="33" borderId="0" xfId="44" applyNumberFormat="1" applyFont="1" applyFill="1"/>
    <xf numFmtId="10" fontId="151" fillId="62" borderId="0" xfId="44" applyNumberFormat="1" applyFont="1" applyFill="1"/>
    <xf numFmtId="3" fontId="130" fillId="0" borderId="0" xfId="53" applyNumberFormat="1" applyFont="1" applyAlignment="1">
      <alignment horizontal="right"/>
    </xf>
    <xf numFmtId="173" fontId="130" fillId="0" borderId="0" xfId="1" applyNumberFormat="1" applyFont="1" applyAlignment="1">
      <alignment horizontal="center" vertical="center"/>
    </xf>
    <xf numFmtId="173" fontId="130" fillId="0" borderId="0" xfId="1" applyNumberFormat="1" applyFont="1" applyAlignment="1">
      <alignment horizontal="left"/>
    </xf>
    <xf numFmtId="173" fontId="130" fillId="0" borderId="0" xfId="1" applyNumberFormat="1" applyFont="1" applyAlignment="1">
      <alignment horizontal="right" vertical="center"/>
    </xf>
    <xf numFmtId="173" fontId="130" fillId="33" borderId="0" xfId="1" applyNumberFormat="1" applyFont="1" applyFill="1"/>
    <xf numFmtId="173" fontId="130" fillId="62" borderId="0" xfId="1" applyNumberFormat="1" applyFont="1" applyFill="1"/>
    <xf numFmtId="173" fontId="28" fillId="62" borderId="0" xfId="1" applyNumberFormat="1" applyFont="1" applyFill="1"/>
    <xf numFmtId="3" fontId="130" fillId="5" borderId="0" xfId="53" applyNumberFormat="1" applyFont="1" applyFill="1" applyAlignment="1">
      <alignment horizontal="right"/>
    </xf>
    <xf numFmtId="10" fontId="6" fillId="0" borderId="0" xfId="2" applyNumberFormat="1" applyFont="1"/>
    <xf numFmtId="0" fontId="153" fillId="64" borderId="149" xfId="0" applyFont="1" applyFill="1" applyBorder="1" applyAlignment="1">
      <alignment vertical="center" wrapText="1"/>
    </xf>
    <xf numFmtId="0" fontId="153" fillId="64" borderId="149" xfId="0" applyFont="1" applyFill="1" applyBorder="1" applyAlignment="1">
      <alignment horizontal="right" vertical="center" wrapText="1"/>
    </xf>
    <xf numFmtId="0" fontId="154" fillId="65" borderId="150" xfId="0" applyFont="1" applyFill="1" applyBorder="1" applyAlignment="1">
      <alignment vertical="center" wrapText="1"/>
    </xf>
    <xf numFmtId="0" fontId="155" fillId="65" borderId="150" xfId="0" applyFont="1" applyFill="1" applyBorder="1" applyAlignment="1">
      <alignment horizontal="left" vertical="center" wrapText="1"/>
    </xf>
    <xf numFmtId="4" fontId="154" fillId="65" borderId="150" xfId="0" applyNumberFormat="1" applyFont="1" applyFill="1" applyBorder="1" applyAlignment="1">
      <alignment horizontal="right" vertical="center" wrapText="1"/>
    </xf>
    <xf numFmtId="4" fontId="154" fillId="65" borderId="150" xfId="0" applyNumberFormat="1" applyFont="1" applyFill="1" applyBorder="1" applyAlignment="1">
      <alignment horizontal="right" vertical="center"/>
    </xf>
    <xf numFmtId="4" fontId="155" fillId="65" borderId="150" xfId="0" applyNumberFormat="1" applyFont="1" applyFill="1" applyBorder="1" applyAlignment="1">
      <alignment horizontal="right" vertical="center" wrapText="1"/>
    </xf>
    <xf numFmtId="4" fontId="155" fillId="65" borderId="150" xfId="0" applyNumberFormat="1" applyFont="1" applyFill="1" applyBorder="1" applyAlignment="1">
      <alignment horizontal="right" vertical="center"/>
    </xf>
    <xf numFmtId="0" fontId="117" fillId="11" borderId="27" xfId="0" applyFont="1" applyFill="1" applyBorder="1"/>
    <xf numFmtId="0" fontId="117" fillId="0" borderId="31" xfId="0" applyFont="1" applyBorder="1" applyAlignment="1">
      <alignment horizontal="left" vertical="center"/>
    </xf>
    <xf numFmtId="179" fontId="0" fillId="0" borderId="31" xfId="53" applyNumberFormat="1" applyFont="1" applyBorder="1"/>
    <xf numFmtId="9" fontId="117" fillId="0" borderId="0" xfId="44" applyFont="1"/>
    <xf numFmtId="10" fontId="117" fillId="0" borderId="31" xfId="44" applyNumberFormat="1" applyFont="1" applyBorder="1"/>
    <xf numFmtId="166" fontId="96" fillId="0" borderId="110" xfId="20" applyNumberFormat="1" applyFont="1" applyBorder="1" applyAlignment="1">
      <alignment vertical="center"/>
    </xf>
    <xf numFmtId="166" fontId="101" fillId="32" borderId="110" xfId="20" applyNumberFormat="1" applyFont="1" applyFill="1" applyBorder="1" applyAlignment="1">
      <alignment vertical="center"/>
    </xf>
    <xf numFmtId="9" fontId="0" fillId="0" borderId="0" xfId="2" applyFont="1" applyFill="1"/>
    <xf numFmtId="4" fontId="0" fillId="0" borderId="0" xfId="2" applyNumberFormat="1" applyFont="1"/>
    <xf numFmtId="10" fontId="96" fillId="0" borderId="0" xfId="25" applyNumberFormat="1" applyFont="1" applyAlignment="1">
      <alignment horizontal="center" vertical="center"/>
    </xf>
    <xf numFmtId="0" fontId="89" fillId="0" borderId="0" xfId="25" applyFont="1" applyAlignment="1">
      <alignment horizontal="left" vertical="center" wrapText="1"/>
    </xf>
    <xf numFmtId="0" fontId="96" fillId="0" borderId="110" xfId="25" applyFont="1" applyBorder="1" applyAlignment="1">
      <alignment vertical="center" wrapText="1"/>
    </xf>
    <xf numFmtId="0" fontId="106" fillId="0" borderId="110" xfId="25" applyFont="1" applyBorder="1" applyAlignment="1">
      <alignment horizontal="left" vertical="top" wrapText="1"/>
    </xf>
    <xf numFmtId="166" fontId="96" fillId="0" borderId="110" xfId="25" applyNumberFormat="1" applyFont="1" applyBorder="1" applyAlignment="1">
      <alignment vertical="center"/>
    </xf>
    <xf numFmtId="166" fontId="96" fillId="0" borderId="110" xfId="25" applyNumberFormat="1" applyFont="1" applyBorder="1" applyAlignment="1">
      <alignment horizontal="center" vertical="center"/>
    </xf>
    <xf numFmtId="9" fontId="30" fillId="0" borderId="0" xfId="2" applyFont="1"/>
    <xf numFmtId="4" fontId="96" fillId="0" borderId="0" xfId="20" applyNumberFormat="1" applyFont="1" applyAlignment="1">
      <alignment vertical="center"/>
    </xf>
    <xf numFmtId="0" fontId="96" fillId="0" borderId="0" xfId="25" applyFont="1" applyAlignment="1">
      <alignment wrapText="1"/>
    </xf>
    <xf numFmtId="166" fontId="96" fillId="0" borderId="0" xfId="2" applyNumberFormat="1" applyFont="1"/>
    <xf numFmtId="194" fontId="96" fillId="0" borderId="0" xfId="2" applyNumberFormat="1" applyFont="1"/>
    <xf numFmtId="0" fontId="96" fillId="0" borderId="0" xfId="25" applyFont="1" applyAlignment="1">
      <alignment vertical="top"/>
    </xf>
    <xf numFmtId="166" fontId="102" fillId="0" borderId="0" xfId="2" applyNumberFormat="1" applyFont="1"/>
    <xf numFmtId="166" fontId="88" fillId="0" borderId="0" xfId="2" applyNumberFormat="1" applyFont="1"/>
    <xf numFmtId="166" fontId="158" fillId="0" borderId="0" xfId="25" applyNumberFormat="1" applyFont="1"/>
    <xf numFmtId="3" fontId="152" fillId="0" borderId="0" xfId="4" applyNumberFormat="1" applyFont="1"/>
    <xf numFmtId="0" fontId="96" fillId="0" borderId="2" xfId="20" applyFont="1" applyBorder="1" applyAlignment="1">
      <alignment vertical="center"/>
    </xf>
    <xf numFmtId="14" fontId="15" fillId="23" borderId="28" xfId="0" applyNumberFormat="1" applyFont="1" applyFill="1" applyBorder="1" applyAlignment="1">
      <alignment horizontal="center"/>
    </xf>
    <xf numFmtId="170" fontId="29" fillId="0" borderId="2" xfId="1" applyNumberFormat="1" applyFont="1" applyBorder="1"/>
    <xf numFmtId="170" fontId="29" fillId="23" borderId="35" xfId="1" applyNumberFormat="1" applyFont="1" applyFill="1" applyBorder="1"/>
    <xf numFmtId="0" fontId="15" fillId="5" borderId="0" xfId="0" applyFont="1" applyFill="1"/>
    <xf numFmtId="0" fontId="1" fillId="0" borderId="0" xfId="0" applyFont="1" applyAlignment="1">
      <alignment horizontal="left"/>
    </xf>
    <xf numFmtId="0" fontId="1" fillId="27" borderId="0" xfId="0" applyFont="1" applyFill="1" applyAlignment="1">
      <alignment horizontal="left"/>
    </xf>
    <xf numFmtId="0" fontId="15" fillId="0" borderId="0" xfId="0" applyFont="1" applyAlignment="1">
      <alignment horizontal="left"/>
    </xf>
    <xf numFmtId="170" fontId="151" fillId="0" borderId="11" xfId="4" applyNumberFormat="1" applyFont="1" applyBorder="1"/>
    <xf numFmtId="170" fontId="28" fillId="2" borderId="7" xfId="4" applyNumberFormat="1" applyFill="1" applyBorder="1"/>
    <xf numFmtId="170" fontId="130" fillId="62" borderId="7" xfId="4" applyNumberFormat="1" applyFont="1" applyFill="1" applyBorder="1"/>
    <xf numFmtId="0" fontId="15" fillId="23" borderId="28" xfId="0" applyFont="1" applyFill="1" applyBorder="1" applyAlignment="1">
      <alignment horizontal="center"/>
    </xf>
    <xf numFmtId="170" fontId="130" fillId="0" borderId="0" xfId="4" applyNumberFormat="1" applyFont="1"/>
    <xf numFmtId="170" fontId="28" fillId="0" borderId="0" xfId="1" applyNumberFormat="1" applyFont="1" applyFill="1" applyBorder="1"/>
    <xf numFmtId="170" fontId="130" fillId="0" borderId="153" xfId="4" applyNumberFormat="1" applyFont="1" applyBorder="1"/>
    <xf numFmtId="170" fontId="151" fillId="0" borderId="46" xfId="4" applyNumberFormat="1" applyFont="1" applyBorder="1"/>
    <xf numFmtId="3" fontId="30" fillId="0" borderId="0" xfId="4" applyNumberFormat="1" applyFont="1"/>
    <xf numFmtId="172" fontId="54" fillId="19" borderId="28" xfId="8" applyNumberFormat="1" applyFont="1" applyFill="1" applyBorder="1" applyAlignment="1">
      <alignment horizontal="center" vertical="center" wrapText="1"/>
    </xf>
    <xf numFmtId="0" fontId="51" fillId="0" borderId="13" xfId="7" applyFont="1" applyBorder="1" applyAlignment="1" applyProtection="1">
      <alignment vertical="center"/>
    </xf>
    <xf numFmtId="172" fontId="54" fillId="14" borderId="0" xfId="8" applyNumberFormat="1" applyFont="1" applyFill="1" applyBorder="1" applyAlignment="1">
      <alignment horizontal="center" vertical="center"/>
    </xf>
    <xf numFmtId="172" fontId="54" fillId="12" borderId="0" xfId="8" applyNumberFormat="1" applyFont="1" applyFill="1" applyBorder="1" applyAlignment="1">
      <alignment horizontal="center" vertical="center"/>
    </xf>
    <xf numFmtId="172" fontId="54" fillId="12" borderId="13" xfId="8" applyNumberFormat="1" applyFont="1" applyFill="1" applyBorder="1" applyAlignment="1">
      <alignment horizontal="center" vertical="center"/>
    </xf>
    <xf numFmtId="0" fontId="152" fillId="0" borderId="0" xfId="4" applyFont="1"/>
    <xf numFmtId="166" fontId="89" fillId="0" borderId="110" xfId="25" applyNumberFormat="1" applyFont="1" applyBorder="1" applyAlignment="1">
      <alignment vertical="top" wrapText="1"/>
    </xf>
    <xf numFmtId="3" fontId="96" fillId="0" borderId="2" xfId="20" applyNumberFormat="1" applyFont="1" applyBorder="1" applyAlignment="1">
      <alignment vertical="center"/>
    </xf>
    <xf numFmtId="166" fontId="96" fillId="0" borderId="2" xfId="22" applyNumberFormat="1" applyFont="1" applyFill="1" applyBorder="1" applyAlignment="1">
      <alignment vertical="center"/>
    </xf>
    <xf numFmtId="0" fontId="96" fillId="0" borderId="2" xfId="25" applyFont="1" applyBorder="1"/>
    <xf numFmtId="166" fontId="96" fillId="0" borderId="2" xfId="2" applyNumberFormat="1" applyFont="1" applyBorder="1"/>
    <xf numFmtId="3" fontId="96" fillId="0" borderId="2" xfId="25" applyNumberFormat="1" applyFont="1" applyBorder="1"/>
    <xf numFmtId="3" fontId="97" fillId="0" borderId="154" xfId="20" applyNumberFormat="1" applyFont="1" applyBorder="1" applyAlignment="1">
      <alignment vertical="center"/>
    </xf>
    <xf numFmtId="166" fontId="97" fillId="0" borderId="154" xfId="24" applyNumberFormat="1" applyFont="1" applyFill="1" applyBorder="1" applyAlignment="1">
      <alignment vertical="center"/>
    </xf>
    <xf numFmtId="166" fontId="97" fillId="0" borderId="154" xfId="2" applyNumberFormat="1" applyFont="1" applyFill="1" applyBorder="1" applyAlignment="1">
      <alignment vertical="center"/>
    </xf>
    <xf numFmtId="166" fontId="96" fillId="0" borderId="2" xfId="20" applyNumberFormat="1" applyFont="1" applyBorder="1" applyAlignment="1">
      <alignment vertical="center"/>
    </xf>
    <xf numFmtId="3" fontId="143" fillId="0" borderId="2" xfId="20" applyNumberFormat="1" applyFont="1" applyBorder="1" applyAlignment="1">
      <alignment vertical="center"/>
    </xf>
    <xf numFmtId="166" fontId="96" fillId="0" borderId="2" xfId="2" applyNumberFormat="1" applyFont="1" applyFill="1" applyBorder="1" applyAlignment="1">
      <alignment vertical="center"/>
    </xf>
    <xf numFmtId="9" fontId="96" fillId="0" borderId="2" xfId="25" applyNumberFormat="1" applyFont="1" applyBorder="1"/>
    <xf numFmtId="3" fontId="97" fillId="36" borderId="2" xfId="20" applyNumberFormat="1" applyFont="1" applyFill="1" applyBorder="1" applyAlignment="1">
      <alignment vertical="center"/>
    </xf>
    <xf numFmtId="166" fontId="99" fillId="36" borderId="2" xfId="22" applyNumberFormat="1" applyFont="1" applyFill="1" applyBorder="1" applyAlignment="1">
      <alignment vertical="center"/>
    </xf>
    <xf numFmtId="166" fontId="96" fillId="0" borderId="2" xfId="2" applyNumberFormat="1" applyFont="1" applyBorder="1" applyAlignment="1">
      <alignment vertical="center"/>
    </xf>
    <xf numFmtId="166" fontId="96" fillId="0" borderId="2" xfId="25" applyNumberFormat="1" applyFont="1" applyBorder="1" applyAlignment="1">
      <alignment vertical="center"/>
    </xf>
    <xf numFmtId="0" fontId="97" fillId="36" borderId="10" xfId="20" applyFont="1" applyFill="1" applyBorder="1" applyAlignment="1">
      <alignment vertical="center"/>
    </xf>
    <xf numFmtId="0" fontId="96" fillId="0" borderId="11" xfId="25" applyFont="1" applyBorder="1"/>
    <xf numFmtId="0" fontId="96" fillId="0" borderId="10" xfId="20" applyFont="1" applyBorder="1" applyAlignment="1">
      <alignment vertical="center"/>
    </xf>
    <xf numFmtId="0" fontId="97" fillId="0" borderId="155" xfId="20" applyFont="1" applyBorder="1" applyAlignment="1">
      <alignment vertical="center"/>
    </xf>
    <xf numFmtId="0" fontId="97" fillId="42" borderId="88" xfId="20" applyFont="1" applyFill="1" applyBorder="1" applyAlignment="1">
      <alignment vertical="center"/>
    </xf>
    <xf numFmtId="173" fontId="96" fillId="0" borderId="13" xfId="26" applyNumberFormat="1" applyFont="1" applyBorder="1" applyAlignment="1"/>
    <xf numFmtId="0" fontId="96" fillId="0" borderId="2" xfId="25" applyFont="1" applyBorder="1" applyAlignment="1">
      <alignment vertical="center"/>
    </xf>
    <xf numFmtId="0" fontId="96" fillId="0" borderId="11" xfId="25" applyFont="1" applyBorder="1" applyAlignment="1">
      <alignment vertical="center"/>
    </xf>
    <xf numFmtId="0" fontId="156" fillId="0" borderId="2" xfId="25" applyFont="1" applyBorder="1" applyAlignment="1">
      <alignment vertical="center" wrapText="1"/>
    </xf>
    <xf numFmtId="0" fontId="143" fillId="0" borderId="2" xfId="25" applyFont="1" applyBorder="1" applyAlignment="1">
      <alignment vertical="center" wrapText="1"/>
    </xf>
    <xf numFmtId="0" fontId="143" fillId="0" borderId="2" xfId="25" applyFont="1" applyBorder="1" applyAlignment="1">
      <alignment vertical="center"/>
    </xf>
    <xf numFmtId="3" fontId="160" fillId="0" borderId="2" xfId="25" applyNumberFormat="1" applyFont="1" applyBorder="1" applyAlignment="1">
      <alignment vertical="center" wrapText="1"/>
    </xf>
    <xf numFmtId="0" fontId="160" fillId="0" borderId="2" xfId="25" applyFont="1" applyBorder="1" applyAlignment="1">
      <alignment vertical="center"/>
    </xf>
    <xf numFmtId="0" fontId="96" fillId="0" borderId="0" xfId="25" applyFont="1" applyAlignment="1">
      <alignment horizontal="center"/>
    </xf>
    <xf numFmtId="9" fontId="96" fillId="0" borderId="0" xfId="25" applyNumberFormat="1" applyFont="1" applyAlignment="1">
      <alignment horizontal="center"/>
    </xf>
    <xf numFmtId="3" fontId="101" fillId="7" borderId="2" xfId="25" applyNumberFormat="1" applyFont="1" applyFill="1" applyBorder="1" applyAlignment="1">
      <alignment horizontal="center" vertical="center"/>
    </xf>
    <xf numFmtId="3" fontId="101" fillId="43" borderId="2" xfId="25" applyNumberFormat="1" applyFont="1" applyFill="1" applyBorder="1" applyAlignment="1">
      <alignment horizontal="center" vertical="center"/>
    </xf>
    <xf numFmtId="3" fontId="101" fillId="0" borderId="0" xfId="25" applyNumberFormat="1" applyFont="1" applyAlignment="1">
      <alignment horizontal="center" vertical="center"/>
    </xf>
    <xf numFmtId="9" fontId="96" fillId="0" borderId="0" xfId="25" applyNumberFormat="1" applyFont="1" applyAlignment="1">
      <alignment horizontal="center" vertical="center"/>
    </xf>
    <xf numFmtId="3" fontId="101" fillId="43" borderId="110" xfId="25" applyNumberFormat="1" applyFont="1" applyFill="1" applyBorder="1" applyAlignment="1">
      <alignment horizontal="center" vertical="center"/>
    </xf>
    <xf numFmtId="170" fontId="29" fillId="23" borderId="135" xfId="1" applyNumberFormat="1" applyFont="1" applyFill="1" applyBorder="1"/>
    <xf numFmtId="170" fontId="29" fillId="23" borderId="14" xfId="1" applyNumberFormat="1" applyFont="1" applyFill="1" applyBorder="1"/>
    <xf numFmtId="170" fontId="28" fillId="2" borderId="0" xfId="4" applyNumberFormat="1" applyFill="1"/>
    <xf numFmtId="190" fontId="28" fillId="2" borderId="0" xfId="4" applyNumberFormat="1" applyFill="1"/>
    <xf numFmtId="173" fontId="28" fillId="2" borderId="0" xfId="4" applyNumberFormat="1" applyFill="1"/>
    <xf numFmtId="4" fontId="28" fillId="2" borderId="0" xfId="4" applyNumberFormat="1" applyFill="1"/>
    <xf numFmtId="0" fontId="15" fillId="23" borderId="27" xfId="0" applyFont="1" applyFill="1" applyBorder="1" applyAlignment="1">
      <alignment horizontal="center"/>
    </xf>
    <xf numFmtId="0" fontId="15" fillId="23" borderId="52" xfId="0" applyFont="1" applyFill="1" applyBorder="1" applyAlignment="1">
      <alignment horizontal="center"/>
    </xf>
    <xf numFmtId="0" fontId="28" fillId="28" borderId="0" xfId="4" applyFill="1"/>
    <xf numFmtId="3" fontId="161" fillId="0" borderId="2" xfId="25" applyNumberFormat="1" applyFont="1" applyBorder="1" applyAlignment="1">
      <alignment vertical="center" wrapText="1"/>
    </xf>
    <xf numFmtId="3" fontId="33" fillId="0" borderId="0" xfId="20" applyNumberFormat="1" applyFont="1" applyAlignment="1">
      <alignment vertical="center"/>
    </xf>
    <xf numFmtId="166" fontId="33" fillId="0" borderId="0" xfId="22" applyNumberFormat="1" applyFont="1" applyAlignment="1">
      <alignment vertical="center"/>
    </xf>
    <xf numFmtId="178" fontId="33" fillId="0" borderId="0" xfId="21" applyNumberFormat="1" applyFont="1" applyAlignment="1">
      <alignment vertical="center"/>
    </xf>
    <xf numFmtId="166" fontId="33" fillId="0" borderId="0" xfId="2" applyNumberFormat="1" applyFont="1" applyAlignment="1">
      <alignment vertical="center"/>
    </xf>
    <xf numFmtId="0" fontId="33" fillId="0" borderId="0" xfId="20" applyFont="1" applyAlignment="1">
      <alignment horizontal="center" vertical="center"/>
    </xf>
    <xf numFmtId="189" fontId="33" fillId="0" borderId="0" xfId="1" applyNumberFormat="1" applyFont="1" applyAlignment="1">
      <alignment vertical="center"/>
    </xf>
    <xf numFmtId="0" fontId="33" fillId="0" borderId="15" xfId="20" applyFont="1" applyBorder="1" applyAlignment="1">
      <alignment vertical="center"/>
    </xf>
    <xf numFmtId="3" fontId="33" fillId="0" borderId="16" xfId="20" applyNumberFormat="1" applyFont="1" applyBorder="1" applyAlignment="1">
      <alignment vertical="center"/>
    </xf>
    <xf numFmtId="166" fontId="33" fillId="0" borderId="16" xfId="22" applyNumberFormat="1" applyFont="1" applyBorder="1" applyAlignment="1">
      <alignment vertical="center"/>
    </xf>
    <xf numFmtId="178" fontId="33" fillId="0" borderId="16" xfId="21" applyNumberFormat="1" applyFont="1" applyBorder="1" applyAlignment="1">
      <alignment vertical="center"/>
    </xf>
    <xf numFmtId="166" fontId="33" fillId="0" borderId="16" xfId="2" applyNumberFormat="1" applyFont="1" applyBorder="1" applyAlignment="1">
      <alignment vertical="center"/>
    </xf>
    <xf numFmtId="0" fontId="33" fillId="0" borderId="16" xfId="20" applyFont="1" applyBorder="1" applyAlignment="1">
      <alignment vertical="center"/>
    </xf>
    <xf numFmtId="0" fontId="33" fillId="0" borderId="17" xfId="20" applyFont="1" applyBorder="1" applyAlignment="1">
      <alignment vertical="center"/>
    </xf>
    <xf numFmtId="0" fontId="162" fillId="35" borderId="6" xfId="20" applyFont="1" applyFill="1" applyBorder="1" applyAlignment="1">
      <alignment horizontal="centerContinuous" vertical="center"/>
    </xf>
    <xf numFmtId="0" fontId="162" fillId="35" borderId="0" xfId="20" applyFont="1" applyFill="1" applyAlignment="1">
      <alignment horizontal="center" vertical="center"/>
    </xf>
    <xf numFmtId="3" fontId="162" fillId="35" borderId="0" xfId="20" applyNumberFormat="1" applyFont="1" applyFill="1" applyAlignment="1">
      <alignment horizontal="centerContinuous" vertical="center"/>
    </xf>
    <xf numFmtId="166" fontId="162" fillId="35" borderId="0" xfId="22" applyNumberFormat="1" applyFont="1" applyFill="1" applyBorder="1" applyAlignment="1">
      <alignment horizontal="centerContinuous" vertical="center"/>
    </xf>
    <xf numFmtId="186" fontId="162" fillId="35" borderId="0" xfId="23" applyNumberFormat="1" applyFont="1" applyFill="1" applyAlignment="1">
      <alignment vertical="center"/>
    </xf>
    <xf numFmtId="166" fontId="162" fillId="35" borderId="0" xfId="2" applyNumberFormat="1" applyFont="1" applyFill="1" applyBorder="1" applyAlignment="1">
      <alignment horizontal="centerContinuous" vertical="center"/>
    </xf>
    <xf numFmtId="4" fontId="115" fillId="0" borderId="0" xfId="20" applyNumberFormat="1" applyFont="1" applyAlignment="1">
      <alignment vertical="center"/>
    </xf>
    <xf numFmtId="0" fontId="33" fillId="0" borderId="7" xfId="20" applyFont="1" applyBorder="1" applyAlignment="1">
      <alignment vertical="center"/>
    </xf>
    <xf numFmtId="0" fontId="33" fillId="0" borderId="6" xfId="20" applyFont="1" applyBorder="1" applyAlignment="1">
      <alignment vertical="center"/>
    </xf>
    <xf numFmtId="0" fontId="163" fillId="0" borderId="0" xfId="20" applyFont="1" applyAlignment="1">
      <alignment vertical="center"/>
    </xf>
    <xf numFmtId="3" fontId="164" fillId="35" borderId="0" xfId="20" applyNumberFormat="1" applyFont="1" applyFill="1" applyAlignment="1">
      <alignment horizontal="left" vertical="center"/>
    </xf>
    <xf numFmtId="3" fontId="164" fillId="35" borderId="0" xfId="20" applyNumberFormat="1" applyFont="1" applyFill="1" applyAlignment="1">
      <alignment horizontal="centerContinuous" vertical="center"/>
    </xf>
    <xf numFmtId="3" fontId="164" fillId="35" borderId="0" xfId="20" applyNumberFormat="1" applyFont="1" applyFill="1" applyAlignment="1">
      <alignment horizontal="center" vertical="center"/>
    </xf>
    <xf numFmtId="3" fontId="33" fillId="37" borderId="0" xfId="20" applyNumberFormat="1" applyFont="1" applyFill="1" applyAlignment="1">
      <alignment vertical="center"/>
    </xf>
    <xf numFmtId="14" fontId="165" fillId="36" borderId="7" xfId="23" applyNumberFormat="1" applyFont="1" applyFill="1" applyBorder="1" applyAlignment="1">
      <alignment horizontal="center" vertical="center"/>
    </xf>
    <xf numFmtId="9" fontId="33" fillId="0" borderId="0" xfId="2" applyFont="1" applyAlignment="1">
      <alignment vertical="center"/>
    </xf>
    <xf numFmtId="3" fontId="165" fillId="36" borderId="0" xfId="23" applyNumberFormat="1" applyFont="1" applyFill="1" applyAlignment="1">
      <alignment horizontal="center" vertical="center" wrapText="1"/>
    </xf>
    <xf numFmtId="3" fontId="165" fillId="36" borderId="7" xfId="23" applyNumberFormat="1" applyFont="1" applyFill="1" applyBorder="1" applyAlignment="1">
      <alignment horizontal="center" vertical="center" wrapText="1"/>
    </xf>
    <xf numFmtId="4" fontId="33" fillId="0" borderId="0" xfId="20" applyNumberFormat="1" applyFont="1" applyAlignment="1">
      <alignment vertical="center"/>
    </xf>
    <xf numFmtId="0" fontId="165" fillId="0" borderId="6" xfId="20" applyFont="1" applyBorder="1" applyAlignment="1">
      <alignment horizontal="left" vertical="center"/>
    </xf>
    <xf numFmtId="3" fontId="165" fillId="0" borderId="0" xfId="23" applyNumberFormat="1" applyFont="1" applyAlignment="1">
      <alignment horizontal="right" vertical="center" wrapText="1"/>
    </xf>
    <xf numFmtId="3" fontId="165" fillId="0" borderId="0" xfId="23" applyNumberFormat="1" applyFont="1" applyAlignment="1">
      <alignment horizontal="center" vertical="center" wrapText="1"/>
    </xf>
    <xf numFmtId="166" fontId="165" fillId="0" borderId="0" xfId="24" applyNumberFormat="1" applyFont="1" applyFill="1" applyBorder="1" applyAlignment="1">
      <alignment horizontal="center" vertical="center" wrapText="1"/>
    </xf>
    <xf numFmtId="166" fontId="165" fillId="0" borderId="0" xfId="2" applyNumberFormat="1" applyFont="1" applyFill="1" applyBorder="1" applyAlignment="1">
      <alignment horizontal="center" vertical="center" wrapText="1"/>
    </xf>
    <xf numFmtId="9" fontId="165" fillId="0" borderId="0" xfId="2" applyFont="1" applyFill="1" applyBorder="1" applyAlignment="1">
      <alignment horizontal="right" vertical="center" wrapText="1"/>
    </xf>
    <xf numFmtId="9" fontId="165" fillId="0" borderId="7" xfId="2" applyFont="1" applyFill="1" applyBorder="1" applyAlignment="1">
      <alignment horizontal="right" vertical="center" wrapText="1"/>
    </xf>
    <xf numFmtId="4" fontId="33" fillId="0" borderId="0" xfId="20" applyNumberFormat="1" applyFont="1" applyAlignment="1">
      <alignment horizontal="center" vertical="center"/>
    </xf>
    <xf numFmtId="3" fontId="33" fillId="0" borderId="0" xfId="20" applyNumberFormat="1" applyFont="1" applyAlignment="1">
      <alignment horizontal="center" vertical="center"/>
    </xf>
    <xf numFmtId="166" fontId="33" fillId="0" borderId="0" xfId="22" applyNumberFormat="1" applyFont="1" applyFill="1" applyBorder="1" applyAlignment="1">
      <alignment vertical="center"/>
    </xf>
    <xf numFmtId="3" fontId="33" fillId="0" borderId="0" xfId="23" applyNumberFormat="1" applyFont="1" applyAlignment="1">
      <alignment vertical="center"/>
    </xf>
    <xf numFmtId="166" fontId="33" fillId="0" borderId="0" xfId="2" applyNumberFormat="1" applyFont="1" applyFill="1" applyBorder="1" applyAlignment="1">
      <alignment vertical="center"/>
    </xf>
    <xf numFmtId="166" fontId="33" fillId="0" borderId="7" xfId="2" applyNumberFormat="1" applyFont="1" applyFill="1" applyBorder="1" applyAlignment="1">
      <alignment vertical="center"/>
    </xf>
    <xf numFmtId="3" fontId="33" fillId="62" borderId="0" xfId="20" applyNumberFormat="1" applyFont="1" applyFill="1" applyAlignment="1">
      <alignment vertical="center"/>
    </xf>
    <xf numFmtId="0" fontId="33" fillId="0" borderId="157" xfId="20" applyFont="1" applyBorder="1" applyAlignment="1">
      <alignment vertical="center"/>
    </xf>
    <xf numFmtId="3" fontId="33" fillId="0" borderId="108" xfId="20" applyNumberFormat="1" applyFont="1" applyBorder="1" applyAlignment="1">
      <alignment vertical="center"/>
    </xf>
    <xf numFmtId="166" fontId="33" fillId="0" borderId="108" xfId="22" applyNumberFormat="1" applyFont="1" applyFill="1" applyBorder="1" applyAlignment="1">
      <alignment vertical="center"/>
    </xf>
    <xf numFmtId="3" fontId="33" fillId="0" borderId="108" xfId="23" applyNumberFormat="1" applyFont="1" applyBorder="1" applyAlignment="1">
      <alignment vertical="center"/>
    </xf>
    <xf numFmtId="166" fontId="33" fillId="0" borderId="108" xfId="2" applyNumberFormat="1" applyFont="1" applyFill="1" applyBorder="1" applyAlignment="1">
      <alignment vertical="center"/>
    </xf>
    <xf numFmtId="0" fontId="33" fillId="0" borderId="108" xfId="20" applyFont="1" applyBorder="1" applyAlignment="1">
      <alignment vertical="center"/>
    </xf>
    <xf numFmtId="166" fontId="33" fillId="0" borderId="158" xfId="2" applyNumberFormat="1" applyFont="1" applyFill="1" applyBorder="1" applyAlignment="1">
      <alignment vertical="center"/>
    </xf>
    <xf numFmtId="0" fontId="33" fillId="0" borderId="108" xfId="20" applyFont="1" applyBorder="1" applyAlignment="1">
      <alignment horizontal="center" vertical="center"/>
    </xf>
    <xf numFmtId="173" fontId="33" fillId="62" borderId="0" xfId="1" applyNumberFormat="1" applyFont="1" applyFill="1" applyAlignment="1">
      <alignment vertical="center"/>
    </xf>
    <xf numFmtId="9" fontId="33" fillId="0" borderId="0" xfId="20" applyNumberFormat="1" applyFont="1" applyAlignment="1">
      <alignment vertical="center"/>
    </xf>
    <xf numFmtId="0" fontId="165" fillId="0" borderId="157" xfId="20" applyFont="1" applyBorder="1" applyAlignment="1">
      <alignment vertical="center"/>
    </xf>
    <xf numFmtId="3" fontId="165" fillId="0" borderId="108" xfId="20" applyNumberFormat="1" applyFont="1" applyBorder="1" applyAlignment="1">
      <alignment vertical="center"/>
    </xf>
    <xf numFmtId="166" fontId="165" fillId="0" borderId="108" xfId="22" applyNumberFormat="1" applyFont="1" applyFill="1" applyBorder="1" applyAlignment="1">
      <alignment vertical="center"/>
    </xf>
    <xf numFmtId="166" fontId="165" fillId="0" borderId="108" xfId="2" applyNumberFormat="1" applyFont="1" applyFill="1" applyBorder="1" applyAlignment="1">
      <alignment vertical="center"/>
    </xf>
    <xf numFmtId="166" fontId="165" fillId="0" borderId="158" xfId="2" applyNumberFormat="1" applyFont="1" applyFill="1" applyBorder="1" applyAlignment="1">
      <alignment vertical="center"/>
    </xf>
    <xf numFmtId="166" fontId="166" fillId="0" borderId="109" xfId="20" applyNumberFormat="1" applyFont="1" applyBorder="1" applyAlignment="1">
      <alignment horizontal="center" vertical="center"/>
    </xf>
    <xf numFmtId="3" fontId="157" fillId="7" borderId="2" xfId="25" applyNumberFormat="1" applyFont="1" applyFill="1" applyBorder="1" applyAlignment="1">
      <alignment horizontal="center" vertical="center"/>
    </xf>
    <xf numFmtId="166" fontId="33" fillId="0" borderId="7" xfId="22" applyNumberFormat="1" applyFont="1" applyFill="1" applyBorder="1" applyAlignment="1">
      <alignment vertical="center"/>
    </xf>
    <xf numFmtId="9" fontId="33" fillId="0" borderId="0" xfId="2" applyFont="1" applyAlignment="1">
      <alignment horizontal="center" vertical="center"/>
    </xf>
    <xf numFmtId="166" fontId="33" fillId="0" borderId="0" xfId="20" applyNumberFormat="1" applyFont="1" applyAlignment="1">
      <alignment horizontal="center" vertical="center"/>
    </xf>
    <xf numFmtId="43" fontId="33" fillId="0" borderId="0" xfId="20" applyNumberFormat="1" applyFont="1" applyAlignment="1">
      <alignment horizontal="center" vertical="center"/>
    </xf>
    <xf numFmtId="43" fontId="33" fillId="0" borderId="0" xfId="1" applyFont="1" applyAlignment="1">
      <alignment horizontal="center" vertical="center"/>
    </xf>
    <xf numFmtId="0" fontId="33" fillId="37" borderId="0" xfId="20" applyFont="1" applyFill="1" applyAlignment="1">
      <alignment vertical="center"/>
    </xf>
    <xf numFmtId="4" fontId="33" fillId="37" borderId="0" xfId="20" applyNumberFormat="1" applyFont="1" applyFill="1" applyAlignment="1">
      <alignment vertical="center"/>
    </xf>
    <xf numFmtId="0" fontId="165" fillId="36" borderId="10" xfId="20" applyFont="1" applyFill="1" applyBorder="1" applyAlignment="1">
      <alignment vertical="center"/>
    </xf>
    <xf numFmtId="3" fontId="165" fillId="36" borderId="2" xfId="20" applyNumberFormat="1" applyFont="1" applyFill="1" applyBorder="1" applyAlignment="1">
      <alignment vertical="center"/>
    </xf>
    <xf numFmtId="166" fontId="165" fillId="36" borderId="2" xfId="22" applyNumberFormat="1" applyFont="1" applyFill="1" applyBorder="1" applyAlignment="1">
      <alignment vertical="center"/>
    </xf>
    <xf numFmtId="3" fontId="165" fillId="36" borderId="2" xfId="23" applyNumberFormat="1" applyFont="1" applyFill="1" applyBorder="1" applyAlignment="1">
      <alignment vertical="center"/>
    </xf>
    <xf numFmtId="166" fontId="165" fillId="36" borderId="2" xfId="2" applyNumberFormat="1" applyFont="1" applyFill="1" applyBorder="1" applyAlignment="1">
      <alignment vertical="center"/>
    </xf>
    <xf numFmtId="166" fontId="33" fillId="0" borderId="2" xfId="20" applyNumberFormat="1" applyFont="1" applyBorder="1" applyAlignment="1">
      <alignment vertical="center"/>
    </xf>
    <xf numFmtId="166" fontId="165" fillId="36" borderId="11" xfId="2" applyNumberFormat="1" applyFont="1" applyFill="1" applyBorder="1" applyAlignment="1">
      <alignment vertical="center"/>
    </xf>
    <xf numFmtId="0" fontId="33" fillId="0" borderId="2" xfId="20" applyFont="1" applyBorder="1" applyAlignment="1">
      <alignment vertical="center"/>
    </xf>
    <xf numFmtId="9" fontId="115" fillId="0" borderId="152" xfId="2" applyFont="1" applyBorder="1" applyAlignment="1">
      <alignment horizontal="center" vertical="center"/>
    </xf>
    <xf numFmtId="43" fontId="156" fillId="0" borderId="2" xfId="1" applyFont="1" applyBorder="1" applyAlignment="1">
      <alignment horizontal="center" vertical="center"/>
    </xf>
    <xf numFmtId="173" fontId="157" fillId="43" borderId="156" xfId="1" applyNumberFormat="1" applyFont="1" applyFill="1" applyBorder="1" applyAlignment="1">
      <alignment horizontal="center" vertical="center"/>
    </xf>
    <xf numFmtId="1" fontId="115" fillId="0" borderId="2" xfId="20" applyNumberFormat="1" applyFont="1" applyBorder="1" applyAlignment="1">
      <alignment vertical="center" wrapText="1"/>
    </xf>
    <xf numFmtId="0" fontId="33" fillId="0" borderId="10" xfId="20" applyFont="1" applyBorder="1" applyAlignment="1">
      <alignment vertical="center"/>
    </xf>
    <xf numFmtId="3" fontId="33" fillId="0" borderId="2" xfId="20" applyNumberFormat="1" applyFont="1" applyBorder="1" applyAlignment="1">
      <alignment vertical="center"/>
    </xf>
    <xf numFmtId="166" fontId="33" fillId="0" borderId="2" xfId="22" applyNumberFormat="1" applyFont="1" applyFill="1" applyBorder="1" applyAlignment="1">
      <alignment vertical="center"/>
    </xf>
    <xf numFmtId="166" fontId="33" fillId="0" borderId="2" xfId="2" applyNumberFormat="1" applyFont="1" applyFill="1" applyBorder="1" applyAlignment="1">
      <alignment vertical="center"/>
    </xf>
    <xf numFmtId="166" fontId="33" fillId="0" borderId="11" xfId="22" applyNumberFormat="1" applyFont="1" applyFill="1" applyBorder="1" applyAlignment="1">
      <alignment vertical="center"/>
    </xf>
    <xf numFmtId="0" fontId="33" fillId="0" borderId="2" xfId="20" applyFont="1" applyBorder="1" applyAlignment="1">
      <alignment horizontal="center" vertical="center"/>
    </xf>
    <xf numFmtId="0" fontId="102" fillId="0" borderId="0" xfId="20" applyFont="1" applyAlignment="1">
      <alignment vertical="center"/>
    </xf>
    <xf numFmtId="178" fontId="102" fillId="0" borderId="0" xfId="20" applyNumberFormat="1" applyFont="1" applyAlignment="1">
      <alignment vertical="center"/>
    </xf>
    <xf numFmtId="0" fontId="165" fillId="0" borderId="6" xfId="20" applyFont="1" applyBorder="1" applyAlignment="1">
      <alignment vertical="center"/>
    </xf>
    <xf numFmtId="3" fontId="165" fillId="0" borderId="0" xfId="20" applyNumberFormat="1" applyFont="1" applyAlignment="1">
      <alignment vertical="center"/>
    </xf>
    <xf numFmtId="166" fontId="165" fillId="0" borderId="0" xfId="24" applyNumberFormat="1" applyFont="1" applyFill="1" applyBorder="1" applyAlignment="1">
      <alignment vertical="center"/>
    </xf>
    <xf numFmtId="166" fontId="165" fillId="0" borderId="0" xfId="2" applyNumberFormat="1" applyFont="1" applyFill="1" applyBorder="1" applyAlignment="1">
      <alignment vertical="center"/>
    </xf>
    <xf numFmtId="166" fontId="165" fillId="0" borderId="7" xfId="2" applyNumberFormat="1" applyFont="1" applyFill="1" applyBorder="1" applyAlignment="1">
      <alignment vertical="center"/>
    </xf>
    <xf numFmtId="0" fontId="33" fillId="0" borderId="0" xfId="20" applyFont="1" applyAlignment="1">
      <alignment vertical="center" wrapText="1"/>
    </xf>
    <xf numFmtId="0" fontId="165" fillId="42" borderId="10" xfId="20" applyFont="1" applyFill="1" applyBorder="1" applyAlignment="1">
      <alignment vertical="center"/>
    </xf>
    <xf numFmtId="3" fontId="165" fillId="42" borderId="2" xfId="20" applyNumberFormat="1" applyFont="1" applyFill="1" applyBorder="1" applyAlignment="1">
      <alignment vertical="center"/>
    </xf>
    <xf numFmtId="166" fontId="165" fillId="42" borderId="2" xfId="22" applyNumberFormat="1" applyFont="1" applyFill="1" applyBorder="1" applyAlignment="1">
      <alignment vertical="center"/>
    </xf>
    <xf numFmtId="3" fontId="165" fillId="42" borderId="2" xfId="23" applyNumberFormat="1" applyFont="1" applyFill="1" applyBorder="1" applyAlignment="1">
      <alignment vertical="center"/>
    </xf>
    <xf numFmtId="166" fontId="165" fillId="42" borderId="2" xfId="2" applyNumberFormat="1" applyFont="1" applyFill="1" applyBorder="1" applyAlignment="1">
      <alignment vertical="center"/>
    </xf>
    <xf numFmtId="166" fontId="165" fillId="42" borderId="11" xfId="2" applyNumberFormat="1" applyFont="1" applyFill="1" applyBorder="1" applyAlignment="1">
      <alignment vertical="center"/>
    </xf>
    <xf numFmtId="166" fontId="157" fillId="0" borderId="2" xfId="20" applyNumberFormat="1" applyFont="1" applyBorder="1" applyAlignment="1">
      <alignment horizontal="center" vertical="center"/>
    </xf>
    <xf numFmtId="166" fontId="115" fillId="0" borderId="2" xfId="20" applyNumberFormat="1" applyFont="1" applyBorder="1" applyAlignment="1">
      <alignment horizontal="center" vertical="center"/>
    </xf>
    <xf numFmtId="3" fontId="115" fillId="0" borderId="2" xfId="20" applyNumberFormat="1" applyFont="1" applyBorder="1" applyAlignment="1">
      <alignment horizontal="center" vertical="center"/>
    </xf>
    <xf numFmtId="0" fontId="33" fillId="0" borderId="2" xfId="20" applyFont="1" applyBorder="1" applyAlignment="1">
      <alignment vertical="center" wrapText="1"/>
    </xf>
    <xf numFmtId="166" fontId="33" fillId="0" borderId="0" xfId="2" applyNumberFormat="1" applyFont="1" applyBorder="1" applyAlignment="1">
      <alignment vertical="center"/>
    </xf>
    <xf numFmtId="178" fontId="33" fillId="37" borderId="0" xfId="21" applyNumberFormat="1" applyFont="1" applyFill="1" applyAlignment="1">
      <alignment vertical="center"/>
    </xf>
    <xf numFmtId="178" fontId="33" fillId="37" borderId="0" xfId="20" applyNumberFormat="1" applyFont="1" applyFill="1" applyAlignment="1">
      <alignment vertical="center"/>
    </xf>
    <xf numFmtId="0" fontId="33" fillId="0" borderId="8" xfId="20" applyFont="1" applyBorder="1" applyAlignment="1">
      <alignment vertical="center"/>
    </xf>
    <xf numFmtId="3" fontId="33" fillId="0" borderId="1" xfId="20" applyNumberFormat="1" applyFont="1" applyBorder="1" applyAlignment="1">
      <alignment vertical="center"/>
    </xf>
    <xf numFmtId="166" fontId="33" fillId="0" borderId="1" xfId="22" applyNumberFormat="1" applyFont="1" applyFill="1" applyBorder="1" applyAlignment="1">
      <alignment vertical="center"/>
    </xf>
    <xf numFmtId="3" fontId="33" fillId="0" borderId="1" xfId="23" applyNumberFormat="1" applyFont="1" applyBorder="1" applyAlignment="1">
      <alignment vertical="center"/>
    </xf>
    <xf numFmtId="166" fontId="33" fillId="0" borderId="1" xfId="2" applyNumberFormat="1" applyFont="1" applyFill="1" applyBorder="1" applyAlignment="1">
      <alignment vertical="center"/>
    </xf>
    <xf numFmtId="0" fontId="33" fillId="0" borderId="1" xfId="20" applyFont="1" applyBorder="1" applyAlignment="1">
      <alignment vertical="center"/>
    </xf>
    <xf numFmtId="166" fontId="33" fillId="0" borderId="9" xfId="22" applyNumberFormat="1" applyFont="1" applyFill="1" applyBorder="1" applyAlignment="1">
      <alignment vertical="center"/>
    </xf>
    <xf numFmtId="0" fontId="33" fillId="0" borderId="1" xfId="20" applyFont="1" applyBorder="1" applyAlignment="1">
      <alignment horizontal="center" vertical="center"/>
    </xf>
    <xf numFmtId="0" fontId="165" fillId="36" borderId="6" xfId="20" applyFont="1" applyFill="1" applyBorder="1" applyAlignment="1">
      <alignment vertical="center"/>
    </xf>
    <xf numFmtId="3" fontId="165" fillId="36" borderId="0" xfId="20" applyNumberFormat="1" applyFont="1" applyFill="1" applyAlignment="1">
      <alignment vertical="center"/>
    </xf>
    <xf numFmtId="166" fontId="165" fillId="36" borderId="0" xfId="22" applyNumberFormat="1" applyFont="1" applyFill="1" applyBorder="1" applyAlignment="1">
      <alignment vertical="center"/>
    </xf>
    <xf numFmtId="166" fontId="165" fillId="36" borderId="0" xfId="2" applyNumberFormat="1" applyFont="1" applyFill="1" applyBorder="1" applyAlignment="1">
      <alignment vertical="center"/>
    </xf>
    <xf numFmtId="166" fontId="165" fillId="36" borderId="7" xfId="2" applyNumberFormat="1" applyFont="1" applyFill="1" applyBorder="1" applyAlignment="1">
      <alignment vertical="center"/>
    </xf>
    <xf numFmtId="166" fontId="157" fillId="0" borderId="0" xfId="20" applyNumberFormat="1" applyFont="1" applyAlignment="1">
      <alignment horizontal="center" vertical="center"/>
    </xf>
    <xf numFmtId="3" fontId="157" fillId="0" borderId="0" xfId="20" applyNumberFormat="1" applyFont="1" applyAlignment="1">
      <alignment horizontal="center" vertical="center"/>
    </xf>
    <xf numFmtId="3" fontId="157" fillId="0" borderId="0" xfId="20" applyNumberFormat="1" applyFont="1" applyAlignment="1">
      <alignment vertical="center"/>
    </xf>
    <xf numFmtId="3" fontId="33" fillId="0" borderId="2" xfId="23" applyNumberFormat="1" applyFont="1" applyBorder="1" applyAlignment="1">
      <alignment vertical="center"/>
    </xf>
    <xf numFmtId="173" fontId="157" fillId="43" borderId="2" xfId="1" applyNumberFormat="1" applyFont="1" applyFill="1" applyBorder="1" applyAlignment="1">
      <alignment horizontal="center" vertical="center"/>
    </xf>
    <xf numFmtId="166" fontId="33" fillId="0" borderId="0" xfId="20" applyNumberFormat="1" applyFont="1" applyAlignment="1">
      <alignment vertical="center"/>
    </xf>
    <xf numFmtId="166" fontId="33" fillId="0" borderId="1" xfId="20" applyNumberFormat="1" applyFont="1" applyBorder="1" applyAlignment="1">
      <alignment vertical="center"/>
    </xf>
    <xf numFmtId="0" fontId="165" fillId="36" borderId="157" xfId="20" applyFont="1" applyFill="1" applyBorder="1" applyAlignment="1">
      <alignment vertical="center"/>
    </xf>
    <xf numFmtId="3" fontId="165" fillId="36" borderId="108" xfId="20" applyNumberFormat="1" applyFont="1" applyFill="1" applyBorder="1" applyAlignment="1">
      <alignment vertical="center"/>
    </xf>
    <xf numFmtId="166" fontId="165" fillId="36" borderId="108" xfId="22" applyNumberFormat="1" applyFont="1" applyFill="1" applyBorder="1" applyAlignment="1">
      <alignment vertical="center"/>
    </xf>
    <xf numFmtId="166" fontId="165" fillId="36" borderId="108" xfId="2" applyNumberFormat="1" applyFont="1" applyFill="1" applyBorder="1" applyAlignment="1">
      <alignment vertical="center"/>
    </xf>
    <xf numFmtId="166" fontId="165" fillId="36" borderId="158" xfId="2" applyNumberFormat="1" applyFont="1" applyFill="1" applyBorder="1" applyAlignment="1">
      <alignment vertical="center"/>
    </xf>
    <xf numFmtId="166" fontId="157" fillId="0" borderId="108" xfId="20" applyNumberFormat="1" applyFont="1" applyBorder="1" applyAlignment="1">
      <alignment horizontal="center" vertical="center"/>
    </xf>
    <xf numFmtId="166" fontId="115" fillId="0" borderId="108" xfId="20" applyNumberFormat="1" applyFont="1" applyBorder="1" applyAlignment="1">
      <alignment horizontal="center" vertical="center"/>
    </xf>
    <xf numFmtId="1" fontId="115" fillId="0" borderId="108" xfId="20" applyNumberFormat="1" applyFont="1" applyBorder="1" applyAlignment="1">
      <alignment vertical="center" wrapText="1"/>
    </xf>
    <xf numFmtId="166" fontId="115" fillId="0" borderId="0" xfId="20" applyNumberFormat="1" applyFont="1" applyAlignment="1">
      <alignment horizontal="center" vertical="center"/>
    </xf>
    <xf numFmtId="166" fontId="165" fillId="0" borderId="0" xfId="22" applyNumberFormat="1" applyFont="1" applyBorder="1" applyAlignment="1">
      <alignment vertical="center"/>
    </xf>
    <xf numFmtId="3" fontId="165" fillId="0" borderId="0" xfId="23" applyNumberFormat="1" applyFont="1" applyAlignment="1">
      <alignment vertical="center"/>
    </xf>
    <xf numFmtId="166" fontId="165" fillId="0" borderId="0" xfId="2" applyNumberFormat="1" applyFont="1" applyBorder="1" applyAlignment="1">
      <alignment vertical="center"/>
    </xf>
    <xf numFmtId="166" fontId="165" fillId="0" borderId="7" xfId="2" applyNumberFormat="1" applyFont="1" applyBorder="1" applyAlignment="1">
      <alignment vertical="center"/>
    </xf>
    <xf numFmtId="3" fontId="115" fillId="0" borderId="0" xfId="20" applyNumberFormat="1" applyFont="1" applyAlignment="1">
      <alignment vertical="center"/>
    </xf>
    <xf numFmtId="0" fontId="142" fillId="0" borderId="6" xfId="20" applyFont="1" applyBorder="1" applyAlignment="1">
      <alignment vertical="center"/>
    </xf>
    <xf numFmtId="166" fontId="165" fillId="0" borderId="0" xfId="22" applyNumberFormat="1" applyFont="1" applyFill="1" applyBorder="1" applyAlignment="1">
      <alignment vertical="center"/>
    </xf>
    <xf numFmtId="0" fontId="33" fillId="0" borderId="12" xfId="20" applyFont="1" applyBorder="1" applyAlignment="1">
      <alignment vertical="center"/>
    </xf>
    <xf numFmtId="3" fontId="33" fillId="0" borderId="13" xfId="20" applyNumberFormat="1" applyFont="1" applyBorder="1" applyAlignment="1">
      <alignment vertical="center"/>
    </xf>
    <xf numFmtId="166" fontId="33" fillId="0" borderId="13" xfId="22" applyNumberFormat="1" applyFont="1" applyBorder="1" applyAlignment="1">
      <alignment vertical="center"/>
    </xf>
    <xf numFmtId="4" fontId="33" fillId="0" borderId="13" xfId="23" applyNumberFormat="1" applyFont="1" applyBorder="1" applyAlignment="1">
      <alignment vertical="center"/>
    </xf>
    <xf numFmtId="3" fontId="33" fillId="0" borderId="13" xfId="23" applyNumberFormat="1" applyFont="1" applyBorder="1" applyAlignment="1">
      <alignment vertical="center"/>
    </xf>
    <xf numFmtId="166" fontId="33" fillId="0" borderId="13" xfId="2" applyNumberFormat="1" applyFont="1" applyBorder="1" applyAlignment="1">
      <alignment vertical="center"/>
    </xf>
    <xf numFmtId="0" fontId="33" fillId="0" borderId="13" xfId="20" applyFont="1" applyBorder="1" applyAlignment="1">
      <alignment vertical="center"/>
    </xf>
    <xf numFmtId="0" fontId="33" fillId="0" borderId="14" xfId="20" applyFont="1" applyBorder="1" applyAlignment="1">
      <alignment vertical="center"/>
    </xf>
    <xf numFmtId="166" fontId="33" fillId="0" borderId="0" xfId="22" applyNumberFormat="1" applyFont="1" applyBorder="1" applyAlignment="1">
      <alignment vertical="center"/>
    </xf>
    <xf numFmtId="178" fontId="33" fillId="0" borderId="0" xfId="21" applyNumberFormat="1" applyFont="1" applyBorder="1" applyAlignment="1">
      <alignment vertical="center"/>
    </xf>
    <xf numFmtId="173" fontId="2" fillId="20" borderId="0" xfId="0" applyNumberFormat="1" applyFont="1" applyFill="1"/>
    <xf numFmtId="172" fontId="54" fillId="16" borderId="1" xfId="8" applyNumberFormat="1" applyFont="1" applyFill="1" applyBorder="1" applyAlignment="1">
      <alignment horizontal="center" vertical="center"/>
    </xf>
    <xf numFmtId="172" fontId="55" fillId="0" borderId="45" xfId="8" applyNumberFormat="1" applyFont="1" applyFill="1" applyBorder="1" applyAlignment="1">
      <alignment horizontal="center" vertical="center"/>
    </xf>
    <xf numFmtId="172" fontId="55" fillId="0" borderId="56" xfId="8" applyNumberFormat="1" applyFont="1" applyFill="1" applyBorder="1" applyAlignment="1">
      <alignment horizontal="center" vertical="center"/>
    </xf>
    <xf numFmtId="172" fontId="55" fillId="0" borderId="54" xfId="8" applyNumberFormat="1" applyFont="1" applyFill="1" applyBorder="1" applyAlignment="1">
      <alignment horizontal="center" vertical="center"/>
    </xf>
    <xf numFmtId="172" fontId="55" fillId="0" borderId="57" xfId="8" applyNumberFormat="1" applyFont="1" applyFill="1" applyBorder="1" applyAlignment="1">
      <alignment horizontal="center" vertical="center"/>
    </xf>
    <xf numFmtId="172" fontId="55" fillId="0" borderId="4" xfId="8" applyNumberFormat="1" applyFont="1" applyFill="1" applyBorder="1" applyAlignment="1">
      <alignment horizontal="center" vertical="center"/>
    </xf>
    <xf numFmtId="172" fontId="55" fillId="0" borderId="42" xfId="8" applyNumberFormat="1" applyFont="1" applyFill="1" applyBorder="1" applyAlignment="1">
      <alignment horizontal="center" vertical="center"/>
    </xf>
    <xf numFmtId="172" fontId="55" fillId="0" borderId="46" xfId="8" applyNumberFormat="1" applyFont="1" applyFill="1" applyBorder="1" applyAlignment="1">
      <alignment horizontal="center" vertical="center"/>
    </xf>
    <xf numFmtId="172" fontId="55" fillId="0" borderId="2" xfId="8" applyNumberFormat="1" applyFont="1" applyFill="1" applyBorder="1" applyAlignment="1">
      <alignment horizontal="center" vertical="center"/>
    </xf>
    <xf numFmtId="0" fontId="51" fillId="0" borderId="15" xfId="7" applyFont="1" applyBorder="1" applyAlignment="1" applyProtection="1">
      <alignment vertical="center"/>
    </xf>
    <xf numFmtId="0" fontId="51" fillId="0" borderId="16" xfId="7" applyFont="1" applyBorder="1" applyAlignment="1" applyProtection="1">
      <alignment horizontal="center" vertical="center"/>
    </xf>
    <xf numFmtId="0" fontId="51" fillId="0" borderId="16" xfId="7" applyFont="1" applyBorder="1" applyAlignment="1" applyProtection="1">
      <alignment vertical="center"/>
    </xf>
    <xf numFmtId="172" fontId="51" fillId="0" borderId="16" xfId="8" applyNumberFormat="1" applyFont="1" applyBorder="1" applyAlignment="1">
      <alignment vertical="center"/>
    </xf>
    <xf numFmtId="0" fontId="51" fillId="0" borderId="17" xfId="7" applyFont="1" applyBorder="1" applyAlignment="1" applyProtection="1">
      <alignment vertical="center"/>
    </xf>
    <xf numFmtId="172" fontId="51" fillId="0" borderId="0" xfId="8" applyNumberFormat="1" applyFont="1" applyBorder="1" applyAlignment="1">
      <alignment vertical="center"/>
    </xf>
    <xf numFmtId="172" fontId="62" fillId="0" borderId="16" xfId="8" applyNumberFormat="1" applyFont="1" applyBorder="1" applyAlignment="1">
      <alignment horizontal="center" vertical="center"/>
    </xf>
    <xf numFmtId="0" fontId="61" fillId="0" borderId="0" xfId="7" applyFont="1" applyBorder="1" applyAlignment="1" applyProtection="1">
      <alignment horizontal="center" vertical="center"/>
    </xf>
    <xf numFmtId="0" fontId="51" fillId="0" borderId="29" xfId="7" applyFont="1" applyBorder="1" applyAlignment="1" applyProtection="1">
      <alignment vertical="center"/>
    </xf>
    <xf numFmtId="0" fontId="51" fillId="0" borderId="28" xfId="7" applyFont="1" applyBorder="1" applyAlignment="1" applyProtection="1">
      <alignment vertical="center"/>
    </xf>
    <xf numFmtId="172" fontId="54" fillId="0" borderId="30" xfId="8" applyNumberFormat="1" applyFont="1" applyBorder="1" applyAlignment="1">
      <alignment horizontal="right" vertical="center"/>
    </xf>
    <xf numFmtId="172" fontId="54" fillId="10" borderId="27" xfId="7" applyNumberFormat="1" applyFont="1" applyFill="1" applyBorder="1" applyAlignment="1" applyProtection="1">
      <alignment vertical="center"/>
    </xf>
    <xf numFmtId="172" fontId="54" fillId="23" borderId="27" xfId="7" applyNumberFormat="1" applyFont="1" applyFill="1" applyBorder="1" applyAlignment="1" applyProtection="1">
      <alignment vertical="center"/>
    </xf>
    <xf numFmtId="192" fontId="149" fillId="0" borderId="27" xfId="1" applyNumberFormat="1" applyFont="1" applyBorder="1" applyAlignment="1" applyProtection="1">
      <alignment vertical="center"/>
    </xf>
    <xf numFmtId="0" fontId="54" fillId="0" borderId="0" xfId="7" applyFont="1" applyBorder="1" applyAlignment="1" applyProtection="1">
      <alignment horizontal="right" vertical="center"/>
    </xf>
    <xf numFmtId="172" fontId="54" fillId="0" borderId="0" xfId="7" applyNumberFormat="1" applyFont="1" applyBorder="1" applyAlignment="1" applyProtection="1">
      <alignment vertical="center"/>
    </xf>
    <xf numFmtId="192" fontId="51" fillId="0" borderId="0" xfId="1" applyNumberFormat="1" applyFont="1" applyBorder="1" applyAlignment="1" applyProtection="1">
      <alignment vertical="center"/>
    </xf>
    <xf numFmtId="172" fontId="54" fillId="23" borderId="27" xfId="8" applyNumberFormat="1" applyFont="1" applyFill="1" applyBorder="1" applyAlignment="1">
      <alignment vertical="center"/>
    </xf>
    <xf numFmtId="172" fontId="61" fillId="0" borderId="0" xfId="7" applyNumberFormat="1" applyFont="1" applyBorder="1" applyAlignment="1" applyProtection="1">
      <alignment vertical="center"/>
    </xf>
    <xf numFmtId="192" fontId="59" fillId="0" borderId="0" xfId="1" applyNumberFormat="1" applyFont="1" applyBorder="1" applyAlignment="1" applyProtection="1">
      <alignment vertical="center"/>
    </xf>
    <xf numFmtId="0" fontId="150" fillId="0" borderId="0" xfId="7" applyFont="1" applyBorder="1" applyAlignment="1" applyProtection="1">
      <alignment horizontal="right" vertical="center"/>
    </xf>
    <xf numFmtId="0" fontId="61" fillId="0" borderId="0" xfId="7" applyFont="1" applyBorder="1" applyAlignment="1" applyProtection="1">
      <alignment horizontal="right" vertical="center"/>
    </xf>
    <xf numFmtId="0" fontId="51" fillId="0" borderId="13" xfId="7" applyFont="1" applyBorder="1" applyAlignment="1" applyProtection="1">
      <alignment horizontal="center" vertical="center"/>
    </xf>
    <xf numFmtId="172" fontId="51" fillId="0" borderId="13" xfId="8" applyNumberFormat="1" applyFont="1" applyBorder="1" applyAlignment="1">
      <alignment vertical="center"/>
    </xf>
    <xf numFmtId="195" fontId="84" fillId="35" borderId="0" xfId="20" applyNumberFormat="1" applyFont="1" applyFill="1" applyAlignment="1">
      <alignment horizontal="center" vertical="center"/>
    </xf>
    <xf numFmtId="182" fontId="69" fillId="0" borderId="0" xfId="17" applyNumberFormat="1" applyFont="1" applyFill="1"/>
    <xf numFmtId="1" fontId="69" fillId="0" borderId="0" xfId="15" applyNumberFormat="1"/>
    <xf numFmtId="1" fontId="69" fillId="0" borderId="0" xfId="15" applyNumberFormat="1" applyAlignment="1">
      <alignment vertical="center" wrapText="1"/>
    </xf>
    <xf numFmtId="182" fontId="76" fillId="0" borderId="0" xfId="17" applyNumberFormat="1" applyFont="1" applyFill="1"/>
    <xf numFmtId="10" fontId="69" fillId="0" borderId="0" xfId="18" applyNumberFormat="1" applyFont="1" applyFill="1"/>
    <xf numFmtId="183" fontId="69" fillId="0" borderId="0" xfId="17" applyNumberFormat="1" applyFont="1" applyFill="1"/>
    <xf numFmtId="184" fontId="69" fillId="0" borderId="0" xfId="18" applyNumberFormat="1" applyFont="1" applyFill="1"/>
    <xf numFmtId="170" fontId="69" fillId="0" borderId="0" xfId="19" applyNumberFormat="1" applyFont="1" applyFill="1"/>
    <xf numFmtId="166" fontId="69" fillId="0" borderId="0" xfId="18" applyNumberFormat="1" applyFont="1" applyFill="1"/>
    <xf numFmtId="166" fontId="69" fillId="0" borderId="0" xfId="15" applyNumberFormat="1"/>
    <xf numFmtId="173" fontId="69" fillId="0" borderId="0" xfId="1" applyNumberFormat="1" applyFont="1" applyFill="1"/>
    <xf numFmtId="173" fontId="69" fillId="0" borderId="0" xfId="1" quotePrefix="1" applyNumberFormat="1" applyFont="1" applyFill="1"/>
    <xf numFmtId="173" fontId="72" fillId="0" borderId="0" xfId="1" applyNumberFormat="1" applyFont="1" applyFill="1"/>
    <xf numFmtId="186" fontId="84" fillId="66" borderId="0" xfId="23" applyNumberFormat="1" applyFont="1" applyFill="1" applyAlignment="1">
      <alignment vertical="center"/>
    </xf>
    <xf numFmtId="0" fontId="84" fillId="66" borderId="0" xfId="20" applyFont="1" applyFill="1" applyAlignment="1">
      <alignment horizontal="center" vertical="center"/>
    </xf>
    <xf numFmtId="170" fontId="0" fillId="0" borderId="0" xfId="1" applyNumberFormat="1" applyFont="1" applyFill="1" applyBorder="1"/>
    <xf numFmtId="170" fontId="93" fillId="0" borderId="0" xfId="1" applyNumberFormat="1" applyFont="1" applyFill="1" applyBorder="1"/>
    <xf numFmtId="170" fontId="94" fillId="0" borderId="0" xfId="1" applyNumberFormat="1" applyFont="1" applyFill="1" applyBorder="1"/>
    <xf numFmtId="0" fontId="6" fillId="0" borderId="0" xfId="0" applyFont="1" applyAlignment="1">
      <alignment horizontal="center" vertical="center"/>
    </xf>
    <xf numFmtId="0" fontId="25" fillId="0" borderId="0" xfId="0" applyFont="1" applyAlignment="1">
      <alignment horizontal="center" vertical="center" wrapText="1"/>
    </xf>
    <xf numFmtId="0" fontId="8" fillId="0" borderId="0" xfId="0" applyFont="1" applyAlignment="1">
      <alignment horizontal="center" vertical="center"/>
    </xf>
    <xf numFmtId="0" fontId="8" fillId="0" borderId="0" xfId="0" applyFont="1" applyAlignment="1">
      <alignment horizontal="left" vertical="center"/>
    </xf>
    <xf numFmtId="0" fontId="25" fillId="0" borderId="0" xfId="0" applyFont="1" applyAlignment="1">
      <alignment horizontal="center" vertical="center"/>
    </xf>
    <xf numFmtId="0" fontId="93" fillId="0" borderId="0" xfId="0" applyFont="1" applyAlignment="1">
      <alignment horizontal="center"/>
    </xf>
    <xf numFmtId="170" fontId="93" fillId="0" borderId="0" xfId="1" applyNumberFormat="1" applyFont="1" applyFill="1" applyBorder="1" applyAlignment="1">
      <alignment horizontal="center"/>
    </xf>
    <xf numFmtId="0" fontId="73" fillId="31" borderId="0" xfId="15" applyFont="1" applyFill="1" applyAlignment="1">
      <alignment horizontal="center" vertical="center" wrapText="1"/>
    </xf>
    <xf numFmtId="0" fontId="6" fillId="0" borderId="0" xfId="0" applyFont="1" applyAlignment="1">
      <alignment horizontal="center" vertical="center" wrapText="1"/>
    </xf>
    <xf numFmtId="0" fontId="6" fillId="0" borderId="19" xfId="0" applyFont="1" applyBorder="1" applyAlignment="1">
      <alignment horizontal="center" vertical="center"/>
    </xf>
    <xf numFmtId="0" fontId="0" fillId="0" borderId="16" xfId="0" applyBorder="1" applyAlignment="1">
      <alignment horizontal="left" vertical="center" wrapText="1"/>
    </xf>
    <xf numFmtId="0" fontId="0" fillId="0" borderId="0" xfId="0" applyAlignment="1">
      <alignment horizontal="left" vertical="center" wrapText="1"/>
    </xf>
    <xf numFmtId="0" fontId="0" fillId="0" borderId="16" xfId="0" applyBorder="1" applyAlignment="1">
      <alignment horizontal="left" wrapText="1"/>
    </xf>
    <xf numFmtId="0" fontId="29" fillId="2" borderId="15" xfId="4" applyFont="1" applyFill="1" applyBorder="1" applyAlignment="1">
      <alignment horizontal="center"/>
    </xf>
    <xf numFmtId="0" fontId="29" fillId="2" borderId="17" xfId="4" applyFont="1" applyFill="1" applyBorder="1" applyAlignment="1">
      <alignment horizontal="center"/>
    </xf>
    <xf numFmtId="0" fontId="29" fillId="2" borderId="29" xfId="4" applyFont="1" applyFill="1" applyBorder="1" applyAlignment="1">
      <alignment horizontal="center"/>
    </xf>
    <xf numFmtId="0" fontId="29" fillId="2" borderId="28" xfId="4" applyFont="1" applyFill="1" applyBorder="1" applyAlignment="1">
      <alignment horizontal="center"/>
    </xf>
    <xf numFmtId="0" fontId="29" fillId="2" borderId="30" xfId="4" applyFont="1" applyFill="1" applyBorder="1" applyAlignment="1">
      <alignment horizontal="center"/>
    </xf>
    <xf numFmtId="3" fontId="108" fillId="35" borderId="0" xfId="20" applyNumberFormat="1" applyFont="1" applyFill="1" applyAlignment="1">
      <alignment horizontal="center" vertical="center"/>
    </xf>
    <xf numFmtId="14" fontId="97" fillId="36" borderId="0" xfId="23" applyNumberFormat="1" applyFont="1" applyFill="1" applyAlignment="1">
      <alignment horizontal="center" vertical="center"/>
    </xf>
    <xf numFmtId="0" fontId="97" fillId="23" borderId="6" xfId="20" applyFont="1" applyFill="1" applyBorder="1" applyAlignment="1">
      <alignment horizontal="center" vertical="center"/>
    </xf>
    <xf numFmtId="0" fontId="97" fillId="36" borderId="0" xfId="23" applyFont="1" applyFill="1" applyAlignment="1">
      <alignment horizontal="center" vertical="center"/>
    </xf>
    <xf numFmtId="166" fontId="97" fillId="36" borderId="0" xfId="24" applyNumberFormat="1" applyFont="1" applyFill="1" applyBorder="1" applyAlignment="1">
      <alignment horizontal="center" vertical="center" wrapText="1"/>
    </xf>
    <xf numFmtId="166" fontId="97" fillId="36" borderId="0" xfId="2" applyNumberFormat="1" applyFont="1" applyFill="1" applyBorder="1" applyAlignment="1">
      <alignment horizontal="center" vertical="center" wrapText="1"/>
    </xf>
    <xf numFmtId="14" fontId="165" fillId="36" borderId="0" xfId="23" applyNumberFormat="1" applyFont="1" applyFill="1" applyAlignment="1">
      <alignment horizontal="center" vertical="center"/>
    </xf>
    <xf numFmtId="0" fontId="165" fillId="23" borderId="6" xfId="20" applyFont="1" applyFill="1" applyBorder="1" applyAlignment="1">
      <alignment horizontal="center" vertical="center"/>
    </xf>
    <xf numFmtId="0" fontId="165" fillId="36" borderId="0" xfId="23" applyFont="1" applyFill="1" applyAlignment="1">
      <alignment horizontal="center" vertical="center"/>
    </xf>
    <xf numFmtId="166" fontId="165" fillId="36" borderId="0" xfId="24" applyNumberFormat="1" applyFont="1" applyFill="1" applyBorder="1" applyAlignment="1">
      <alignment horizontal="center" vertical="center" wrapText="1"/>
    </xf>
    <xf numFmtId="166" fontId="165" fillId="36" borderId="0" xfId="2" applyNumberFormat="1" applyFont="1" applyFill="1" applyBorder="1" applyAlignment="1">
      <alignment horizontal="center" vertical="center" wrapText="1"/>
    </xf>
    <xf numFmtId="14" fontId="110" fillId="36" borderId="0" xfId="23" applyNumberFormat="1" applyFont="1" applyFill="1" applyAlignment="1">
      <alignment horizontal="center" vertical="center"/>
    </xf>
    <xf numFmtId="0" fontId="97" fillId="23" borderId="0" xfId="20" applyFont="1" applyFill="1" applyAlignment="1">
      <alignment horizontal="center" vertical="center"/>
    </xf>
    <xf numFmtId="0" fontId="110" fillId="36" borderId="0" xfId="23" applyFont="1" applyFill="1" applyAlignment="1">
      <alignment horizontal="center" vertical="center"/>
    </xf>
    <xf numFmtId="166" fontId="110" fillId="36" borderId="0" xfId="24" applyNumberFormat="1" applyFont="1" applyFill="1" applyBorder="1" applyAlignment="1">
      <alignment horizontal="center" vertical="center" wrapText="1"/>
    </xf>
    <xf numFmtId="166" fontId="110" fillId="36" borderId="0" xfId="2" applyNumberFormat="1" applyFont="1" applyFill="1" applyBorder="1" applyAlignment="1">
      <alignment horizontal="center" vertical="center" wrapText="1"/>
    </xf>
    <xf numFmtId="0" fontId="153" fillId="64" borderId="151" xfId="0" applyFont="1" applyFill="1" applyBorder="1" applyAlignment="1">
      <alignment vertical="center" wrapText="1"/>
    </xf>
    <xf numFmtId="0" fontId="97" fillId="23" borderId="100" xfId="20" applyFont="1" applyFill="1" applyBorder="1" applyAlignment="1">
      <alignment horizontal="center" vertical="center"/>
    </xf>
    <xf numFmtId="0" fontId="54" fillId="15" borderId="59" xfId="7" applyFont="1" applyFill="1" applyBorder="1" applyAlignment="1" applyProtection="1">
      <alignment horizontal="center" vertical="center" wrapText="1"/>
    </xf>
    <xf numFmtId="0" fontId="54" fillId="15" borderId="44" xfId="7" applyFont="1" applyFill="1" applyBorder="1" applyAlignment="1" applyProtection="1">
      <alignment horizontal="center" vertical="center" wrapText="1"/>
    </xf>
    <xf numFmtId="0" fontId="54" fillId="13" borderId="59" xfId="7" applyFont="1" applyFill="1" applyBorder="1" applyAlignment="1" applyProtection="1">
      <alignment horizontal="center" vertical="center" wrapText="1"/>
    </xf>
    <xf numFmtId="0" fontId="54" fillId="13" borderId="60" xfId="7" applyFont="1" applyFill="1" applyBorder="1" applyAlignment="1" applyProtection="1">
      <alignment horizontal="center" vertical="center" wrapText="1"/>
    </xf>
    <xf numFmtId="172" fontId="62" fillId="0" borderId="15" xfId="8" applyNumberFormat="1" applyFont="1" applyBorder="1" applyAlignment="1">
      <alignment horizontal="center" vertical="center"/>
    </xf>
    <xf numFmtId="172" fontId="62" fillId="0" borderId="17" xfId="8" applyNumberFormat="1" applyFont="1" applyBorder="1" applyAlignment="1">
      <alignment horizontal="center" vertical="center"/>
    </xf>
    <xf numFmtId="17" fontId="48" fillId="28" borderId="0" xfId="0" applyNumberFormat="1" applyFont="1" applyFill="1" applyAlignment="1">
      <alignment horizontal="center" vertical="center" wrapText="1"/>
    </xf>
    <xf numFmtId="0" fontId="48" fillId="28" borderId="0" xfId="0" applyFont="1" applyFill="1" applyAlignment="1">
      <alignment horizontal="center" vertical="center" wrapText="1"/>
    </xf>
    <xf numFmtId="0" fontId="141" fillId="30" borderId="26" xfId="4" applyFont="1" applyFill="1" applyBorder="1" applyAlignment="1">
      <alignment horizontal="left" vertical="top" wrapText="1"/>
    </xf>
    <xf numFmtId="0" fontId="132" fillId="30" borderId="0" xfId="4" applyFont="1" applyFill="1" applyAlignment="1">
      <alignment horizontal="left" vertical="top" wrapText="1"/>
    </xf>
    <xf numFmtId="0" fontId="132" fillId="30" borderId="68" xfId="4" applyFont="1" applyFill="1" applyBorder="1" applyAlignment="1">
      <alignment horizontal="left" vertical="top" wrapText="1"/>
    </xf>
    <xf numFmtId="0" fontId="132" fillId="30" borderId="26" xfId="4" applyFont="1" applyFill="1" applyBorder="1" applyAlignment="1">
      <alignment horizontal="left" vertical="top" wrapText="1"/>
    </xf>
    <xf numFmtId="0" fontId="132" fillId="30" borderId="69" xfId="4" applyFont="1" applyFill="1" applyBorder="1" applyAlignment="1">
      <alignment horizontal="left" vertical="top" wrapText="1"/>
    </xf>
    <xf numFmtId="0" fontId="132" fillId="30" borderId="1" xfId="4" applyFont="1" applyFill="1" applyBorder="1" applyAlignment="1">
      <alignment horizontal="left" vertical="top" wrapText="1"/>
    </xf>
    <xf numFmtId="0" fontId="132" fillId="30" borderId="70" xfId="4" applyFont="1" applyFill="1" applyBorder="1" applyAlignment="1">
      <alignment horizontal="left" vertical="top" wrapText="1"/>
    </xf>
    <xf numFmtId="0" fontId="28" fillId="0" borderId="0" xfId="4" applyAlignment="1">
      <alignment horizontal="center"/>
    </xf>
    <xf numFmtId="0" fontId="28" fillId="0" borderId="0" xfId="4" applyAlignment="1">
      <alignment horizontal="center" wrapText="1"/>
    </xf>
    <xf numFmtId="0" fontId="120" fillId="48" borderId="116" xfId="0" applyFont="1" applyFill="1" applyBorder="1" applyAlignment="1">
      <alignment horizontal="center" wrapText="1"/>
    </xf>
    <xf numFmtId="0" fontId="120" fillId="48" borderId="117" xfId="0" applyFont="1" applyFill="1" applyBorder="1" applyAlignment="1">
      <alignment horizontal="center" wrapText="1"/>
    </xf>
    <xf numFmtId="0" fontId="60" fillId="60" borderId="130" xfId="7" applyFont="1" applyFill="1" applyBorder="1" applyAlignment="1" applyProtection="1">
      <alignment horizontal="center" vertical="center" wrapText="1"/>
    </xf>
  </cellXfs>
  <cellStyles count="58">
    <cellStyle name="Comma 2" xfId="5" xr:uid="{B3411C7C-70D0-4CAC-8D1C-EA1B199EC305}"/>
    <cellStyle name="Comma 2 2" xfId="17" xr:uid="{9D95B3EF-0BF0-423A-8CA0-E61666EAF444}"/>
    <cellStyle name="Comma 3" xfId="9" xr:uid="{FD131750-2CDA-487E-B139-B96112FE0445}"/>
    <cellStyle name="Comma 3 2" xfId="56" xr:uid="{040420D5-C6C4-4C1A-9399-32813AD21287}"/>
    <cellStyle name="Comma 4" xfId="19" xr:uid="{964768FD-5D48-4965-BF36-E637AC98410C}"/>
    <cellStyle name="Comma 5" xfId="21" xr:uid="{0809DB6C-2173-4A2A-9E44-CB703042102E}"/>
    <cellStyle name="Comma 6" xfId="26" xr:uid="{2E2FA39E-B873-4272-B4AB-462BB0784708}"/>
    <cellStyle name="Comma 7" xfId="46" xr:uid="{1E4D161D-083F-4D35-A6AB-AB66FFD02F64}"/>
    <cellStyle name="Comma 9" xfId="8" xr:uid="{7DAABFE4-409C-45AD-A10B-7CBAB16EC3FF}"/>
    <cellStyle name="Lien hypertexte 2" xfId="54" xr:uid="{16C4BC3D-13E1-4C62-A0EE-0C10891E1F04}"/>
    <cellStyle name="Milliers" xfId="1" builtinId="3"/>
    <cellStyle name="Milliers 2" xfId="10" xr:uid="{7186985C-589F-4C9D-9C5E-4D27E3A6B2F9}"/>
    <cellStyle name="Milliers 2 2" xfId="42" xr:uid="{8F97C545-DF11-4F03-A8DD-407C9C379195}"/>
    <cellStyle name="Milliers 3" xfId="48" xr:uid="{7E4E4DB2-BDD0-432A-9B63-48D6DC6FEFB6}"/>
    <cellStyle name="Milliers 4" xfId="50" xr:uid="{0BDA5538-725C-4A7B-AC6B-7D4AECC3B5DD}"/>
    <cellStyle name="Milliers 5" xfId="53" xr:uid="{F33FE724-5ADD-4FB5-845B-E55BECC664FA}"/>
    <cellStyle name="Normal" xfId="0" builtinId="0"/>
    <cellStyle name="Normal 14" xfId="28" xr:uid="{B882E877-F879-40A0-AED2-5667313427E4}"/>
    <cellStyle name="Normal 15" xfId="29" xr:uid="{A9CFBF15-F3AB-4726-A4DC-8C4074A9E233}"/>
    <cellStyle name="Normal 17" xfId="38" xr:uid="{24EC7A3E-CE22-4175-B673-96AE5CACFC5B}"/>
    <cellStyle name="Normal 17 2" xfId="39" xr:uid="{40D5FF2D-60D2-46F3-A1F8-A5661DA8A6F8}"/>
    <cellStyle name="Normal 2" xfId="4" xr:uid="{28E2D915-8A8E-401B-94BF-19906D5CA6F6}"/>
    <cellStyle name="Normal 2 2" xfId="43" xr:uid="{1F8B3281-E551-46FE-AAD5-8FB680DE7E4E}"/>
    <cellStyle name="Normal 2 3" xfId="49" xr:uid="{065A2AA8-986F-489B-A88B-F177BE4E41AA}"/>
    <cellStyle name="Normal 2 4" xfId="15" xr:uid="{D52100D7-F6A9-4CDA-90CF-E0B96D00D3F9}"/>
    <cellStyle name="Normal 2 5" xfId="30" xr:uid="{25B86252-F264-4B17-9AE5-5B254883ECB9}"/>
    <cellStyle name="Normal 2 6" xfId="7" xr:uid="{B9908338-25C3-49DF-8E8A-321817428B55}"/>
    <cellStyle name="Normal 20" xfId="31" xr:uid="{FE8B134F-A743-46FF-9E1E-58453C58472E}"/>
    <cellStyle name="Normal 3" xfId="25" xr:uid="{94047A55-61E3-4F49-A155-75EE94D3AFA5}"/>
    <cellStyle name="Normal 3 2" xfId="41" xr:uid="{A5B04A9C-33BC-4BC6-AB7D-B4DD64C9172F}"/>
    <cellStyle name="Normal 3 3" xfId="32" xr:uid="{3B231C5B-F032-4603-859B-F88186111BB7}"/>
    <cellStyle name="Normal 33" xfId="33" xr:uid="{37CCB731-A8DB-4BB7-969E-A567B2798955}"/>
    <cellStyle name="Normal 4" xfId="40" xr:uid="{9062BE82-B89B-4D06-BC9D-565B6773284B}"/>
    <cellStyle name="Normal 5" xfId="45" xr:uid="{391310CF-F5C8-40AC-9944-AAD65466E33E}"/>
    <cellStyle name="Normal 57" xfId="34" xr:uid="{F870559B-6A42-430B-8F3B-C96ABCFC2E62}"/>
    <cellStyle name="Normal 6" xfId="47" xr:uid="{BF2A1AB4-C609-4FF0-A77B-85353B33C7F5}"/>
    <cellStyle name="Normal 62" xfId="35" xr:uid="{0ABD2411-8F06-42A8-AC90-5EFFC5E5F66B}"/>
    <cellStyle name="Normal 66" xfId="36" xr:uid="{541F8ECA-D87C-45CC-B996-FB9BC9FBF6B6}"/>
    <cellStyle name="Normal 7" xfId="51" xr:uid="{1FE8E947-FC8C-411D-A3AB-3E583C483D0E}"/>
    <cellStyle name="Normal 8" xfId="52" xr:uid="{8306DE72-1E6D-4639-B095-ACDE1C04816C}"/>
    <cellStyle name="Normal 81" xfId="37" xr:uid="{6175E6B9-AFFB-4DCB-BC24-BF624DFB84DD}"/>
    <cellStyle name="Normal_balance générale 30-11-2002" xfId="12" xr:uid="{A85D2C9F-C2A4-4EE7-A105-DD2A69A4A69B}"/>
    <cellStyle name="Normal_balance generale 31 12 2002" xfId="57" xr:uid="{CAD504EA-DBAF-4E40-BBE3-A0266A3AE793}"/>
    <cellStyle name="Normal_Balance sheet and profit &amp; loss account TRYP MED" xfId="11" xr:uid="{70CA4085-CD62-4939-83B4-C27380B08C31}"/>
    <cellStyle name="Normal_B-CAR conso03 uec déf" xfId="20" xr:uid="{B45EB490-C4FE-4A11-87DD-0160A3A227AA}"/>
    <cellStyle name="Normal_B-CAR conso03 uec déf 2" xfId="23" xr:uid="{C0A9E537-F1CA-4AF9-92CA-14AA437EAF04}"/>
    <cellStyle name="Normal_Отч.прих-разх" xfId="13" xr:uid="{F28C2988-59F7-498D-A8F8-F51A717AA22A}"/>
    <cellStyle name="Percent 2" xfId="6" xr:uid="{628243FC-859C-4B8B-9E89-36D41E701429}"/>
    <cellStyle name="Percent 2 2" xfId="18" xr:uid="{F65D7D01-BB8F-4E57-9D76-AF1976ABD9EB}"/>
    <cellStyle name="Percent 2 3" xfId="16" xr:uid="{F2252772-88AE-452F-A19C-88617BB8C9B1}"/>
    <cellStyle name="Percent 3" xfId="22" xr:uid="{6D42E43D-147D-4696-9EC2-6B48981AC307}"/>
    <cellStyle name="Percent 4" xfId="27" xr:uid="{2C53AFDE-3982-42A8-ABDB-C3FF8E13786D}"/>
    <cellStyle name="Pourcentage" xfId="2" builtinId="5"/>
    <cellStyle name="Pourcentage 2" xfId="24" xr:uid="{7CA5D56E-B81D-4C7F-9F03-6A520B2FE70B}"/>
    <cellStyle name="Pourcentage 2 2" xfId="44" xr:uid="{11B87902-4D90-463F-A7F3-E81B0765CEB1}"/>
    <cellStyle name="Texte explicatif" xfId="55" builtinId="53"/>
    <cellStyle name="Titre 1" xfId="3" builtinId="16"/>
    <cellStyle name="Total 2" xfId="14" xr:uid="{0D40387F-AB14-48D0-AA8C-0A1E0F49C0F1}"/>
  </cellStyles>
  <dxfs count="29">
    <dxf>
      <numFmt numFmtId="3" formatCode="#,##0"/>
    </dxf>
    <dxf>
      <font>
        <color rgb="FF9C0006"/>
      </font>
      <fill>
        <patternFill>
          <bgColor rgb="FFFFC7CE"/>
        </patternFill>
      </fill>
    </dxf>
    <dxf>
      <border>
        <bottom style="thin">
          <color theme="4" tint="-0.499984740745262"/>
        </bottom>
      </border>
    </dxf>
    <dxf>
      <border>
        <bottom style="thin">
          <color theme="4" tint="-0.499984740745262"/>
        </bottom>
      </border>
    </dxf>
    <dxf>
      <border>
        <bottom style="thin">
          <color theme="4" tint="-0.499984740745262"/>
        </bottom>
      </border>
    </dxf>
    <dxf>
      <border>
        <bottom style="thin">
          <color theme="4" tint="-0.499984740745262"/>
        </bottom>
      </border>
    </dxf>
    <dxf>
      <border>
        <bottom style="thin">
          <color theme="4" tint="-0.499984740745262"/>
        </bottom>
      </border>
    </dxf>
    <dxf>
      <border>
        <bottom style="thin">
          <color theme="4" tint="-0.499984740745262"/>
        </bottom>
      </border>
    </dxf>
    <dxf>
      <border>
        <bottom style="thin">
          <color theme="4" tint="-0.499984740745262"/>
        </bottom>
      </border>
    </dxf>
    <dxf>
      <border>
        <bottom style="thin">
          <color theme="4" tint="-0.499984740745262"/>
        </bottom>
      </border>
    </dxf>
    <dxf>
      <border>
        <bottom style="thin">
          <color theme="4" tint="-0.499984740745262"/>
        </bottom>
      </border>
    </dxf>
    <dxf>
      <border>
        <bottom style="thin">
          <color theme="4" tint="-0.499984740745262"/>
        </bottom>
      </border>
    </dxf>
    <dxf>
      <border>
        <bottom style="thin">
          <color theme="4" tint="-0.499984740745262"/>
        </bottom>
      </border>
    </dxf>
    <dxf>
      <border>
        <bottom style="thin">
          <color theme="4" tint="-0.499984740745262"/>
        </bottom>
      </border>
    </dxf>
    <dxf>
      <border>
        <bottom style="thin">
          <color theme="4" tint="-0.499984740745262"/>
        </bottom>
      </border>
    </dxf>
    <dxf>
      <fill>
        <patternFill patternType="none">
          <bgColor auto="1"/>
        </patternFill>
      </fill>
    </dxf>
    <dxf>
      <fill>
        <patternFill patternType="none">
          <bgColor auto="1"/>
        </patternFill>
      </fill>
    </dxf>
    <dxf>
      <font>
        <b val="0"/>
        <i val="0"/>
        <strike val="0"/>
        <condense val="0"/>
        <extend val="0"/>
        <outline val="0"/>
        <shadow val="0"/>
        <u val="none"/>
        <vertAlign val="baseline"/>
        <sz val="11"/>
        <color rgb="FF9C5700"/>
        <name val="Calibri"/>
        <family val="2"/>
        <charset val="204"/>
        <scheme val="minor"/>
      </font>
      <fill>
        <patternFill patternType="solid">
          <fgColor indexed="65"/>
          <bgColor rgb="FFFFEB9C"/>
        </patternFill>
      </fill>
    </dxf>
    <dxf>
      <font>
        <b val="0"/>
        <i val="0"/>
        <strike val="0"/>
        <condense val="0"/>
        <extend val="0"/>
        <outline val="0"/>
        <shadow val="0"/>
        <u val="none"/>
        <vertAlign val="baseline"/>
        <sz val="11"/>
        <color rgb="FF9C0006"/>
        <name val="Calibri"/>
        <family val="2"/>
        <scheme val="minor"/>
      </font>
      <fill>
        <patternFill patternType="solid">
          <fgColor indexed="65"/>
          <bgColor rgb="FFFFC7CE"/>
        </patternFill>
      </fill>
    </dxf>
    <dxf>
      <font>
        <b val="0"/>
        <i val="0"/>
        <strike val="0"/>
        <condense val="0"/>
        <extend val="0"/>
        <outline val="0"/>
        <shadow val="0"/>
        <u val="none"/>
        <vertAlign val="baseline"/>
        <sz val="11"/>
        <color rgb="FF9C0006"/>
        <name val="Calibri"/>
        <family val="2"/>
        <scheme val="minor"/>
      </font>
      <fill>
        <patternFill patternType="solid">
          <fgColor indexed="65"/>
          <bgColor rgb="FFFFC7CE"/>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ont>
        <color auto="1"/>
      </font>
    </dxf>
    <dxf>
      <font>
        <b val="0"/>
        <i val="0"/>
        <strike val="0"/>
        <condense val="0"/>
        <extend val="0"/>
        <outline val="0"/>
        <shadow val="0"/>
        <u val="none"/>
        <vertAlign val="baseline"/>
        <sz val="11"/>
        <color rgb="FFFF0000"/>
        <name val="Calibri"/>
        <family val="2"/>
        <scheme val="minor"/>
      </font>
    </dxf>
    <dxf>
      <font>
        <b/>
        <charset val="204"/>
      </font>
    </dxf>
  </dxfs>
  <tableStyles count="0" defaultTableStyle="TableStyleMedium2" defaultPivotStyle="PivotStyleLight16"/>
  <colors>
    <mruColors>
      <color rgb="FF1970E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73.xml"/><Relationship Id="rId21" Type="http://schemas.openxmlformats.org/officeDocument/2006/relationships/worksheet" Target="worksheets/sheet21.xml"/><Relationship Id="rId42" Type="http://schemas.openxmlformats.org/officeDocument/2006/relationships/worksheet" Target="worksheets/sheet42.xml"/><Relationship Id="rId63" Type="http://schemas.openxmlformats.org/officeDocument/2006/relationships/externalLink" Target="externalLinks/externalLink19.xml"/><Relationship Id="rId84" Type="http://schemas.openxmlformats.org/officeDocument/2006/relationships/externalLink" Target="externalLinks/externalLink40.xml"/><Relationship Id="rId138" Type="http://schemas.openxmlformats.org/officeDocument/2006/relationships/customXml" Target="../customXml/item2.xml"/><Relationship Id="rId16" Type="http://schemas.openxmlformats.org/officeDocument/2006/relationships/worksheet" Target="worksheets/sheet16.xml"/><Relationship Id="rId107" Type="http://schemas.openxmlformats.org/officeDocument/2006/relationships/externalLink" Target="externalLinks/externalLink63.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externalLink" Target="externalLinks/externalLink9.xml"/><Relationship Id="rId58" Type="http://schemas.openxmlformats.org/officeDocument/2006/relationships/externalLink" Target="externalLinks/externalLink14.xml"/><Relationship Id="rId74" Type="http://schemas.openxmlformats.org/officeDocument/2006/relationships/externalLink" Target="externalLinks/externalLink30.xml"/><Relationship Id="rId79" Type="http://schemas.openxmlformats.org/officeDocument/2006/relationships/externalLink" Target="externalLinks/externalLink35.xml"/><Relationship Id="rId102" Type="http://schemas.openxmlformats.org/officeDocument/2006/relationships/externalLink" Target="externalLinks/externalLink58.xml"/><Relationship Id="rId123" Type="http://schemas.openxmlformats.org/officeDocument/2006/relationships/externalLink" Target="externalLinks/externalLink79.xml"/><Relationship Id="rId128" Type="http://schemas.openxmlformats.org/officeDocument/2006/relationships/externalLink" Target="externalLinks/externalLink84.xml"/><Relationship Id="rId5" Type="http://schemas.openxmlformats.org/officeDocument/2006/relationships/worksheet" Target="worksheets/sheet5.xml"/><Relationship Id="rId90" Type="http://schemas.openxmlformats.org/officeDocument/2006/relationships/externalLink" Target="externalLinks/externalLink46.xml"/><Relationship Id="rId95" Type="http://schemas.openxmlformats.org/officeDocument/2006/relationships/externalLink" Target="externalLinks/externalLink51.xml"/><Relationship Id="rId22" Type="http://schemas.openxmlformats.org/officeDocument/2006/relationships/worksheet" Target="worksheets/sheet22.xml"/><Relationship Id="rId27" Type="http://schemas.openxmlformats.org/officeDocument/2006/relationships/worksheet" Target="worksheets/sheet27.xml"/><Relationship Id="rId43" Type="http://schemas.openxmlformats.org/officeDocument/2006/relationships/worksheet" Target="worksheets/sheet43.xml"/><Relationship Id="rId48" Type="http://schemas.openxmlformats.org/officeDocument/2006/relationships/externalLink" Target="externalLinks/externalLink4.xml"/><Relationship Id="rId64" Type="http://schemas.openxmlformats.org/officeDocument/2006/relationships/externalLink" Target="externalLinks/externalLink20.xml"/><Relationship Id="rId69" Type="http://schemas.openxmlformats.org/officeDocument/2006/relationships/externalLink" Target="externalLinks/externalLink25.xml"/><Relationship Id="rId113" Type="http://schemas.openxmlformats.org/officeDocument/2006/relationships/externalLink" Target="externalLinks/externalLink69.xml"/><Relationship Id="rId118" Type="http://schemas.openxmlformats.org/officeDocument/2006/relationships/externalLink" Target="externalLinks/externalLink74.xml"/><Relationship Id="rId134" Type="http://schemas.openxmlformats.org/officeDocument/2006/relationships/styles" Target="styles.xml"/><Relationship Id="rId139" Type="http://schemas.openxmlformats.org/officeDocument/2006/relationships/customXml" Target="../customXml/item3.xml"/><Relationship Id="rId80" Type="http://schemas.openxmlformats.org/officeDocument/2006/relationships/externalLink" Target="externalLinks/externalLink36.xml"/><Relationship Id="rId85" Type="http://schemas.openxmlformats.org/officeDocument/2006/relationships/externalLink" Target="externalLinks/externalLink41.xml"/><Relationship Id="rId12" Type="http://schemas.openxmlformats.org/officeDocument/2006/relationships/worksheet" Target="worksheets/sheet12.xml"/><Relationship Id="rId17" Type="http://schemas.openxmlformats.org/officeDocument/2006/relationships/worksheet" Target="worksheets/sheet17.xml"/><Relationship Id="rId33" Type="http://schemas.openxmlformats.org/officeDocument/2006/relationships/worksheet" Target="worksheets/sheet33.xml"/><Relationship Id="rId38" Type="http://schemas.openxmlformats.org/officeDocument/2006/relationships/worksheet" Target="worksheets/sheet38.xml"/><Relationship Id="rId59" Type="http://schemas.openxmlformats.org/officeDocument/2006/relationships/externalLink" Target="externalLinks/externalLink15.xml"/><Relationship Id="rId103" Type="http://schemas.openxmlformats.org/officeDocument/2006/relationships/externalLink" Target="externalLinks/externalLink59.xml"/><Relationship Id="rId108" Type="http://schemas.openxmlformats.org/officeDocument/2006/relationships/externalLink" Target="externalLinks/externalLink64.xml"/><Relationship Id="rId124" Type="http://schemas.openxmlformats.org/officeDocument/2006/relationships/externalLink" Target="externalLinks/externalLink80.xml"/><Relationship Id="rId129" Type="http://schemas.openxmlformats.org/officeDocument/2006/relationships/externalLink" Target="externalLinks/externalLink85.xml"/><Relationship Id="rId54" Type="http://schemas.openxmlformats.org/officeDocument/2006/relationships/externalLink" Target="externalLinks/externalLink10.xml"/><Relationship Id="rId70" Type="http://schemas.openxmlformats.org/officeDocument/2006/relationships/externalLink" Target="externalLinks/externalLink26.xml"/><Relationship Id="rId75" Type="http://schemas.openxmlformats.org/officeDocument/2006/relationships/externalLink" Target="externalLinks/externalLink31.xml"/><Relationship Id="rId91" Type="http://schemas.openxmlformats.org/officeDocument/2006/relationships/externalLink" Target="externalLinks/externalLink47.xml"/><Relationship Id="rId96" Type="http://schemas.openxmlformats.org/officeDocument/2006/relationships/externalLink" Target="externalLinks/externalLink52.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worksheet" Target="worksheets/sheet23.xml"/><Relationship Id="rId28" Type="http://schemas.openxmlformats.org/officeDocument/2006/relationships/worksheet" Target="worksheets/sheet28.xml"/><Relationship Id="rId49" Type="http://schemas.openxmlformats.org/officeDocument/2006/relationships/externalLink" Target="externalLinks/externalLink5.xml"/><Relationship Id="rId114" Type="http://schemas.openxmlformats.org/officeDocument/2006/relationships/externalLink" Target="externalLinks/externalLink70.xml"/><Relationship Id="rId119" Type="http://schemas.openxmlformats.org/officeDocument/2006/relationships/externalLink" Target="externalLinks/externalLink75.xml"/><Relationship Id="rId44" Type="http://schemas.openxmlformats.org/officeDocument/2006/relationships/worksheet" Target="worksheets/sheet44.xml"/><Relationship Id="rId60" Type="http://schemas.openxmlformats.org/officeDocument/2006/relationships/externalLink" Target="externalLinks/externalLink16.xml"/><Relationship Id="rId65" Type="http://schemas.openxmlformats.org/officeDocument/2006/relationships/externalLink" Target="externalLinks/externalLink21.xml"/><Relationship Id="rId81" Type="http://schemas.openxmlformats.org/officeDocument/2006/relationships/externalLink" Target="externalLinks/externalLink37.xml"/><Relationship Id="rId86" Type="http://schemas.openxmlformats.org/officeDocument/2006/relationships/externalLink" Target="externalLinks/externalLink42.xml"/><Relationship Id="rId130" Type="http://schemas.openxmlformats.org/officeDocument/2006/relationships/pivotCacheDefinition" Target="pivotCache/pivotCacheDefinition1.xml"/><Relationship Id="rId135" Type="http://schemas.openxmlformats.org/officeDocument/2006/relationships/sharedStrings" Target="sharedStrings.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109" Type="http://schemas.openxmlformats.org/officeDocument/2006/relationships/externalLink" Target="externalLinks/externalLink65.xml"/><Relationship Id="rId34" Type="http://schemas.openxmlformats.org/officeDocument/2006/relationships/worksheet" Target="worksheets/sheet34.xml"/><Relationship Id="rId50" Type="http://schemas.openxmlformats.org/officeDocument/2006/relationships/externalLink" Target="externalLinks/externalLink6.xml"/><Relationship Id="rId55" Type="http://schemas.openxmlformats.org/officeDocument/2006/relationships/externalLink" Target="externalLinks/externalLink11.xml"/><Relationship Id="rId76" Type="http://schemas.openxmlformats.org/officeDocument/2006/relationships/externalLink" Target="externalLinks/externalLink32.xml"/><Relationship Id="rId97" Type="http://schemas.openxmlformats.org/officeDocument/2006/relationships/externalLink" Target="externalLinks/externalLink53.xml"/><Relationship Id="rId104" Type="http://schemas.openxmlformats.org/officeDocument/2006/relationships/externalLink" Target="externalLinks/externalLink60.xml"/><Relationship Id="rId120" Type="http://schemas.openxmlformats.org/officeDocument/2006/relationships/externalLink" Target="externalLinks/externalLink76.xml"/><Relationship Id="rId125" Type="http://schemas.openxmlformats.org/officeDocument/2006/relationships/externalLink" Target="externalLinks/externalLink81.xml"/><Relationship Id="rId7" Type="http://schemas.openxmlformats.org/officeDocument/2006/relationships/worksheet" Target="worksheets/sheet7.xml"/><Relationship Id="rId71" Type="http://schemas.openxmlformats.org/officeDocument/2006/relationships/externalLink" Target="externalLinks/externalLink27.xml"/><Relationship Id="rId92" Type="http://schemas.openxmlformats.org/officeDocument/2006/relationships/externalLink" Target="externalLinks/externalLink48.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externalLink" Target="externalLinks/externalLink1.xml"/><Relationship Id="rId66" Type="http://schemas.openxmlformats.org/officeDocument/2006/relationships/externalLink" Target="externalLinks/externalLink22.xml"/><Relationship Id="rId87" Type="http://schemas.openxmlformats.org/officeDocument/2006/relationships/externalLink" Target="externalLinks/externalLink43.xml"/><Relationship Id="rId110" Type="http://schemas.openxmlformats.org/officeDocument/2006/relationships/externalLink" Target="externalLinks/externalLink66.xml"/><Relationship Id="rId115" Type="http://schemas.openxmlformats.org/officeDocument/2006/relationships/externalLink" Target="externalLinks/externalLink71.xml"/><Relationship Id="rId131" Type="http://schemas.openxmlformats.org/officeDocument/2006/relationships/pivotCacheDefinition" Target="pivotCache/pivotCacheDefinition2.xml"/><Relationship Id="rId136" Type="http://schemas.openxmlformats.org/officeDocument/2006/relationships/calcChain" Target="calcChain.xml"/><Relationship Id="rId61" Type="http://schemas.openxmlformats.org/officeDocument/2006/relationships/externalLink" Target="externalLinks/externalLink17.xml"/><Relationship Id="rId82" Type="http://schemas.openxmlformats.org/officeDocument/2006/relationships/externalLink" Target="externalLinks/externalLink38.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externalLink" Target="externalLinks/externalLink12.xml"/><Relationship Id="rId77" Type="http://schemas.openxmlformats.org/officeDocument/2006/relationships/externalLink" Target="externalLinks/externalLink33.xml"/><Relationship Id="rId100" Type="http://schemas.openxmlformats.org/officeDocument/2006/relationships/externalLink" Target="externalLinks/externalLink56.xml"/><Relationship Id="rId105" Type="http://schemas.openxmlformats.org/officeDocument/2006/relationships/externalLink" Target="externalLinks/externalLink61.xml"/><Relationship Id="rId126" Type="http://schemas.openxmlformats.org/officeDocument/2006/relationships/externalLink" Target="externalLinks/externalLink82.xml"/><Relationship Id="rId8" Type="http://schemas.openxmlformats.org/officeDocument/2006/relationships/worksheet" Target="worksheets/sheet8.xml"/><Relationship Id="rId51" Type="http://schemas.openxmlformats.org/officeDocument/2006/relationships/externalLink" Target="externalLinks/externalLink7.xml"/><Relationship Id="rId72" Type="http://schemas.openxmlformats.org/officeDocument/2006/relationships/externalLink" Target="externalLinks/externalLink28.xml"/><Relationship Id="rId93" Type="http://schemas.openxmlformats.org/officeDocument/2006/relationships/externalLink" Target="externalLinks/externalLink49.xml"/><Relationship Id="rId98" Type="http://schemas.openxmlformats.org/officeDocument/2006/relationships/externalLink" Target="externalLinks/externalLink54.xml"/><Relationship Id="rId121" Type="http://schemas.openxmlformats.org/officeDocument/2006/relationships/externalLink" Target="externalLinks/externalLink77.xml"/><Relationship Id="rId3" Type="http://schemas.openxmlformats.org/officeDocument/2006/relationships/worksheet" Target="worksheets/sheet3.xml"/><Relationship Id="rId25" Type="http://schemas.openxmlformats.org/officeDocument/2006/relationships/worksheet" Target="worksheets/sheet25.xml"/><Relationship Id="rId46" Type="http://schemas.openxmlformats.org/officeDocument/2006/relationships/externalLink" Target="externalLinks/externalLink2.xml"/><Relationship Id="rId67" Type="http://schemas.openxmlformats.org/officeDocument/2006/relationships/externalLink" Target="externalLinks/externalLink23.xml"/><Relationship Id="rId116" Type="http://schemas.openxmlformats.org/officeDocument/2006/relationships/externalLink" Target="externalLinks/externalLink72.xml"/><Relationship Id="rId137" Type="http://schemas.openxmlformats.org/officeDocument/2006/relationships/customXml" Target="../customXml/item1.xml"/><Relationship Id="rId20" Type="http://schemas.openxmlformats.org/officeDocument/2006/relationships/worksheet" Target="worksheets/sheet20.xml"/><Relationship Id="rId41" Type="http://schemas.openxmlformats.org/officeDocument/2006/relationships/worksheet" Target="worksheets/sheet41.xml"/><Relationship Id="rId62" Type="http://schemas.openxmlformats.org/officeDocument/2006/relationships/externalLink" Target="externalLinks/externalLink18.xml"/><Relationship Id="rId83" Type="http://schemas.openxmlformats.org/officeDocument/2006/relationships/externalLink" Target="externalLinks/externalLink39.xml"/><Relationship Id="rId88" Type="http://schemas.openxmlformats.org/officeDocument/2006/relationships/externalLink" Target="externalLinks/externalLink44.xml"/><Relationship Id="rId111" Type="http://schemas.openxmlformats.org/officeDocument/2006/relationships/externalLink" Target="externalLinks/externalLink67.xml"/><Relationship Id="rId132" Type="http://schemas.openxmlformats.org/officeDocument/2006/relationships/theme" Target="theme/theme1.xml"/><Relationship Id="rId15" Type="http://schemas.openxmlformats.org/officeDocument/2006/relationships/worksheet" Target="worksheets/sheet15.xml"/><Relationship Id="rId36" Type="http://schemas.openxmlformats.org/officeDocument/2006/relationships/worksheet" Target="worksheets/sheet36.xml"/><Relationship Id="rId57" Type="http://schemas.openxmlformats.org/officeDocument/2006/relationships/externalLink" Target="externalLinks/externalLink13.xml"/><Relationship Id="rId106" Type="http://schemas.openxmlformats.org/officeDocument/2006/relationships/externalLink" Target="externalLinks/externalLink62.xml"/><Relationship Id="rId127" Type="http://schemas.openxmlformats.org/officeDocument/2006/relationships/externalLink" Target="externalLinks/externalLink83.xml"/><Relationship Id="rId10" Type="http://schemas.openxmlformats.org/officeDocument/2006/relationships/worksheet" Target="worksheets/sheet10.xml"/><Relationship Id="rId31" Type="http://schemas.openxmlformats.org/officeDocument/2006/relationships/worksheet" Target="worksheets/sheet31.xml"/><Relationship Id="rId52" Type="http://schemas.openxmlformats.org/officeDocument/2006/relationships/externalLink" Target="externalLinks/externalLink8.xml"/><Relationship Id="rId73" Type="http://schemas.openxmlformats.org/officeDocument/2006/relationships/externalLink" Target="externalLinks/externalLink29.xml"/><Relationship Id="rId78" Type="http://schemas.openxmlformats.org/officeDocument/2006/relationships/externalLink" Target="externalLinks/externalLink34.xml"/><Relationship Id="rId94" Type="http://schemas.openxmlformats.org/officeDocument/2006/relationships/externalLink" Target="externalLinks/externalLink50.xml"/><Relationship Id="rId99" Type="http://schemas.openxmlformats.org/officeDocument/2006/relationships/externalLink" Target="externalLinks/externalLink55.xml"/><Relationship Id="rId101" Type="http://schemas.openxmlformats.org/officeDocument/2006/relationships/externalLink" Target="externalLinks/externalLink57.xml"/><Relationship Id="rId122" Type="http://schemas.openxmlformats.org/officeDocument/2006/relationships/externalLink" Target="externalLinks/externalLink78.xml"/><Relationship Id="rId4" Type="http://schemas.openxmlformats.org/officeDocument/2006/relationships/worksheet" Target="worksheets/sheet4.xml"/><Relationship Id="rId9" Type="http://schemas.openxmlformats.org/officeDocument/2006/relationships/worksheet" Target="worksheets/sheet9.xml"/><Relationship Id="rId26" Type="http://schemas.openxmlformats.org/officeDocument/2006/relationships/worksheet" Target="worksheets/sheet26.xml"/><Relationship Id="rId47" Type="http://schemas.openxmlformats.org/officeDocument/2006/relationships/externalLink" Target="externalLinks/externalLink3.xml"/><Relationship Id="rId68" Type="http://schemas.openxmlformats.org/officeDocument/2006/relationships/externalLink" Target="externalLinks/externalLink24.xml"/><Relationship Id="rId89" Type="http://schemas.openxmlformats.org/officeDocument/2006/relationships/externalLink" Target="externalLinks/externalLink45.xml"/><Relationship Id="rId112" Type="http://schemas.openxmlformats.org/officeDocument/2006/relationships/externalLink" Target="externalLinks/externalLink68.xml"/><Relationship Id="rId133" Type="http://schemas.openxmlformats.org/officeDocument/2006/relationships/connections" Target="connections.xml"/></Relationships>
</file>

<file path=xl/charts/_rels/chart7.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00"/>
            </a:pPr>
            <a:r>
              <a:rPr lang="en-GB" sz="1000"/>
              <a:t>NOUR - condsolidated</a:t>
            </a:r>
            <a:r>
              <a:rPr lang="en-GB" sz="1000" baseline="0"/>
              <a:t> revenue</a:t>
            </a:r>
            <a:endParaRPr lang="en-GB" sz="1000"/>
          </a:p>
        </c:rich>
      </c:tx>
      <c:layout>
        <c:manualLayout>
          <c:xMode val="edge"/>
          <c:yMode val="edge"/>
          <c:x val="0.28274464280825989"/>
          <c:y val="3.2419515222877393E-2"/>
        </c:manualLayout>
      </c:layout>
      <c:overlay val="1"/>
      <c:spPr>
        <a:noFill/>
        <a:ln w="25400">
          <a:noFill/>
        </a:ln>
      </c:spPr>
    </c:title>
    <c:autoTitleDeleted val="0"/>
    <c:plotArea>
      <c:layout>
        <c:manualLayout>
          <c:layoutTarget val="inner"/>
          <c:xMode val="edge"/>
          <c:yMode val="edge"/>
          <c:x val="0.17507978330377599"/>
          <c:y val="0.12205964807991625"/>
          <c:w val="0.79824511370704632"/>
          <c:h val="0.74734766982264489"/>
        </c:manualLayout>
      </c:layout>
      <c:barChart>
        <c:barDir val="col"/>
        <c:grouping val="clustered"/>
        <c:varyColors val="0"/>
        <c:ser>
          <c:idx val="0"/>
          <c:order val="0"/>
          <c:tx>
            <c:strRef>
              <c:f>'I.2 Operating Perfor_CONS_YTD'!$C$39</c:f>
              <c:strCache>
                <c:ptCount val="1"/>
                <c:pt idx="0">
                  <c:v>Revenue</c:v>
                </c:pt>
              </c:strCache>
            </c:strRef>
          </c:tx>
          <c:spPr>
            <a:solidFill>
              <a:schemeClr val="bg1">
                <a:lumMod val="50000"/>
              </a:schemeClr>
            </a:solidFill>
            <a:ln w="38100">
              <a:solidFill>
                <a:srgbClr val="FF0000"/>
              </a:solidFill>
            </a:ln>
          </c:spPr>
          <c:invertIfNegative val="0"/>
          <c:dPt>
            <c:idx val="0"/>
            <c:invertIfNegative val="0"/>
            <c:bubble3D val="0"/>
            <c:spPr>
              <a:solidFill>
                <a:srgbClr val="0070C0"/>
              </a:solidFill>
              <a:ln w="38100">
                <a:solidFill>
                  <a:srgbClr val="FF0000"/>
                </a:solidFill>
              </a:ln>
            </c:spPr>
            <c:extLst>
              <c:ext xmlns:c16="http://schemas.microsoft.com/office/drawing/2014/chart" uri="{C3380CC4-5D6E-409C-BE32-E72D297353CC}">
                <c16:uniqueId val="{00000001-0944-4CE8-8798-B61DE8F36D6A}"/>
              </c:ext>
            </c:extLst>
          </c:dPt>
          <c:dPt>
            <c:idx val="1"/>
            <c:invertIfNegative val="0"/>
            <c:bubble3D val="0"/>
            <c:spPr>
              <a:solidFill>
                <a:schemeClr val="bg1"/>
              </a:solidFill>
              <a:ln w="38100">
                <a:solidFill>
                  <a:srgbClr val="FF0000"/>
                </a:solidFill>
              </a:ln>
            </c:spPr>
            <c:extLst>
              <c:ext xmlns:c16="http://schemas.microsoft.com/office/drawing/2014/chart" uri="{C3380CC4-5D6E-409C-BE32-E72D297353CC}">
                <c16:uniqueId val="{00000003-0944-4CE8-8798-B61DE8F36D6A}"/>
              </c:ext>
            </c:extLst>
          </c:dPt>
          <c:dPt>
            <c:idx val="2"/>
            <c:invertIfNegative val="0"/>
            <c:bubble3D val="0"/>
            <c:spPr>
              <a:solidFill>
                <a:schemeClr val="bg2">
                  <a:lumMod val="65000"/>
                </a:schemeClr>
              </a:solidFill>
              <a:ln w="31750">
                <a:solidFill>
                  <a:srgbClr val="FF0000"/>
                </a:solidFill>
                <a:prstDash val="solid"/>
              </a:ln>
            </c:spPr>
            <c:extLst>
              <c:ext xmlns:c16="http://schemas.microsoft.com/office/drawing/2014/chart" uri="{C3380CC4-5D6E-409C-BE32-E72D297353CC}">
                <c16:uniqueId val="{00000005-0944-4CE8-8798-B61DE8F36D6A}"/>
              </c:ext>
            </c:extLst>
          </c:dPt>
          <c:dPt>
            <c:idx val="3"/>
            <c:invertIfNegative val="0"/>
            <c:bubble3D val="0"/>
            <c:spPr>
              <a:solidFill>
                <a:schemeClr val="bg1">
                  <a:lumMod val="85000"/>
                </a:schemeClr>
              </a:solidFill>
              <a:ln w="38100">
                <a:solidFill>
                  <a:srgbClr val="FF0000"/>
                </a:solidFill>
              </a:ln>
            </c:spPr>
            <c:extLst>
              <c:ext xmlns:c16="http://schemas.microsoft.com/office/drawing/2014/chart" uri="{C3380CC4-5D6E-409C-BE32-E72D297353CC}">
                <c16:uniqueId val="{00000007-0944-4CE8-8798-B61DE8F36D6A}"/>
              </c:ext>
            </c:extLst>
          </c:dPt>
          <c:dLbls>
            <c:spPr>
              <a:noFill/>
              <a:ln w="25400">
                <a:noFill/>
              </a:ln>
            </c:spPr>
            <c:txPr>
              <a:bodyPr/>
              <a:lstStyle/>
              <a:p>
                <a:pPr>
                  <a:defRPr b="1"/>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'I.2 Operating Perfor_CONS_YTD'!$D$38:$H$38</c:f>
              <c:strCache>
                <c:ptCount val="5"/>
                <c:pt idx="0">
                  <c:v>Q1 22</c:v>
                </c:pt>
                <c:pt idx="1">
                  <c:v>Q1 23</c:v>
                </c:pt>
                <c:pt idx="2">
                  <c:v>BP Q1 23</c:v>
                </c:pt>
                <c:pt idx="3">
                  <c:v>Gap to BP Q1 2023</c:v>
                </c:pt>
                <c:pt idx="4">
                  <c:v>Progress to Actual Q1 2023</c:v>
                </c:pt>
              </c:strCache>
            </c:strRef>
          </c:cat>
          <c:val>
            <c:numRef>
              <c:f>'I.2 Operating Perfor_CONS_YTD'!$D$39:$H$39</c:f>
              <c:numCache>
                <c:formatCode>_-* #\ ##0\ _л_в_-;\-* #\ ##0\ _л_в_-;_-* "-"??\ _л_в_-;_-@_-</c:formatCode>
                <c:ptCount val="5"/>
                <c:pt idx="0">
                  <c:v>13349.336432022506</c:v>
                </c:pt>
                <c:pt idx="1">
                  <c:v>14222.683392845354</c:v>
                </c:pt>
                <c:pt idx="2">
                  <c:v>16282.398250877795</c:v>
                </c:pt>
                <c:pt idx="3">
                  <c:v>-2059.714858032441</c:v>
                </c:pt>
                <c:pt idx="4">
                  <c:v>873.3469608228479</c:v>
                </c:pt>
              </c:numCache>
            </c:numRef>
          </c:val>
          <c:extLst>
            <c:ext xmlns:c16="http://schemas.microsoft.com/office/drawing/2014/chart" uri="{C3380CC4-5D6E-409C-BE32-E72D297353CC}">
              <c16:uniqueId val="{00000008-0944-4CE8-8798-B61DE8F36D6A}"/>
            </c:ext>
          </c:extLst>
        </c:ser>
        <c:dLbls>
          <c:showLegendKey val="0"/>
          <c:showVal val="0"/>
          <c:showCatName val="0"/>
          <c:showSerName val="0"/>
          <c:showPercent val="0"/>
          <c:showBubbleSize val="0"/>
        </c:dLbls>
        <c:gapWidth val="45"/>
        <c:axId val="287427600"/>
        <c:axId val="287428160"/>
      </c:barChart>
      <c:catAx>
        <c:axId val="287427600"/>
        <c:scaling>
          <c:orientation val="minMax"/>
        </c:scaling>
        <c:delete val="0"/>
        <c:axPos val="b"/>
        <c:numFmt formatCode="General" sourceLinked="1"/>
        <c:majorTickMark val="out"/>
        <c:minorTickMark val="none"/>
        <c:tickLblPos val="low"/>
        <c:txPr>
          <a:bodyPr/>
          <a:lstStyle/>
          <a:p>
            <a:pPr>
              <a:defRPr sz="1100" b="1"/>
            </a:pPr>
            <a:endParaRPr lang="fr-FR"/>
          </a:p>
        </c:txPr>
        <c:crossAx val="287428160"/>
        <c:crosses val="autoZero"/>
        <c:auto val="1"/>
        <c:lblAlgn val="ctr"/>
        <c:lblOffset val="100"/>
        <c:noMultiLvlLbl val="0"/>
      </c:catAx>
      <c:valAx>
        <c:axId val="287428160"/>
        <c:scaling>
          <c:orientation val="minMax"/>
        </c:scaling>
        <c:delete val="0"/>
        <c:axPos val="l"/>
        <c:majorGridlines/>
        <c:numFmt formatCode="_-* #\ ##0\ _л_в_-;\-* #\ ##0\ _л_в_-;_-* &quot;-&quot;??\ _л_в_-;_-@_-" sourceLinked="1"/>
        <c:majorTickMark val="out"/>
        <c:minorTickMark val="none"/>
        <c:tickLblPos val="nextTo"/>
        <c:txPr>
          <a:bodyPr/>
          <a:lstStyle/>
          <a:p>
            <a:pPr>
              <a:defRPr sz="800"/>
            </a:pPr>
            <a:endParaRPr lang="fr-FR"/>
          </a:p>
        </c:txPr>
        <c:crossAx val="287427600"/>
        <c:crosses val="autoZero"/>
        <c:crossBetween val="between"/>
      </c:valAx>
      <c:spPr>
        <a:noFill/>
        <a:ln w="25400">
          <a:noFill/>
        </a:ln>
      </c:spPr>
    </c:plotArea>
    <c:plotVisOnly val="1"/>
    <c:dispBlanksAs val="gap"/>
    <c:showDLblsOverMax val="0"/>
  </c:chart>
  <c:spPr>
    <a:noFill/>
  </c:spPr>
  <c:printSettings>
    <c:headerFooter/>
    <c:pageMargins b="0.75000000000000322" l="0.70000000000000062" r="0.70000000000000062" t="0.75000000000000322"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00"/>
            </a:pPr>
            <a:r>
              <a:rPr lang="en-GB" sz="1000"/>
              <a:t>NOUR</a:t>
            </a:r>
            <a:r>
              <a:rPr lang="en-GB" sz="1000" baseline="0"/>
              <a:t> - consolidated EBITDA</a:t>
            </a:r>
            <a:endParaRPr lang="en-GB" sz="1000"/>
          </a:p>
        </c:rich>
      </c:tx>
      <c:layout>
        <c:manualLayout>
          <c:xMode val="edge"/>
          <c:yMode val="edge"/>
          <c:x val="0.32924423266046626"/>
          <c:y val="1.176405763561727E-2"/>
        </c:manualLayout>
      </c:layout>
      <c:overlay val="1"/>
      <c:spPr>
        <a:noFill/>
        <a:ln w="25400">
          <a:noFill/>
        </a:ln>
      </c:spPr>
    </c:title>
    <c:autoTitleDeleted val="0"/>
    <c:plotArea>
      <c:layout>
        <c:manualLayout>
          <c:layoutTarget val="inner"/>
          <c:xMode val="edge"/>
          <c:yMode val="edge"/>
          <c:x val="0.17276356482346275"/>
          <c:y val="0.12205964807991625"/>
          <c:w val="0.79404792293860771"/>
          <c:h val="0.74734766982264489"/>
        </c:manualLayout>
      </c:layout>
      <c:barChart>
        <c:barDir val="col"/>
        <c:grouping val="clustered"/>
        <c:varyColors val="0"/>
        <c:ser>
          <c:idx val="0"/>
          <c:order val="0"/>
          <c:tx>
            <c:strRef>
              <c:f>'I.2 Operating Perfor_CONS_YTD'!$J$39</c:f>
              <c:strCache>
                <c:ptCount val="1"/>
                <c:pt idx="0">
                  <c:v>EBITDA</c:v>
                </c:pt>
              </c:strCache>
            </c:strRef>
          </c:tx>
          <c:spPr>
            <a:solidFill>
              <a:schemeClr val="bg1">
                <a:lumMod val="50000"/>
              </a:schemeClr>
            </a:solidFill>
            <a:ln w="38100">
              <a:solidFill>
                <a:srgbClr val="FF0000"/>
              </a:solidFill>
            </a:ln>
          </c:spPr>
          <c:invertIfNegative val="0"/>
          <c:dPt>
            <c:idx val="0"/>
            <c:invertIfNegative val="0"/>
            <c:bubble3D val="0"/>
            <c:spPr>
              <a:solidFill>
                <a:srgbClr val="0070C0"/>
              </a:solidFill>
              <a:ln w="38100">
                <a:solidFill>
                  <a:srgbClr val="FF0000"/>
                </a:solidFill>
              </a:ln>
            </c:spPr>
            <c:extLst>
              <c:ext xmlns:c16="http://schemas.microsoft.com/office/drawing/2014/chart" uri="{C3380CC4-5D6E-409C-BE32-E72D297353CC}">
                <c16:uniqueId val="{00000001-E9FD-460A-99C0-128CF29ADD08}"/>
              </c:ext>
            </c:extLst>
          </c:dPt>
          <c:dPt>
            <c:idx val="1"/>
            <c:invertIfNegative val="0"/>
            <c:bubble3D val="0"/>
            <c:spPr>
              <a:solidFill>
                <a:schemeClr val="bg1"/>
              </a:solidFill>
              <a:ln w="38100">
                <a:solidFill>
                  <a:srgbClr val="FF0000"/>
                </a:solidFill>
              </a:ln>
            </c:spPr>
            <c:extLst>
              <c:ext xmlns:c16="http://schemas.microsoft.com/office/drawing/2014/chart" uri="{C3380CC4-5D6E-409C-BE32-E72D297353CC}">
                <c16:uniqueId val="{00000003-E9FD-460A-99C0-128CF29ADD08}"/>
              </c:ext>
            </c:extLst>
          </c:dPt>
          <c:dPt>
            <c:idx val="2"/>
            <c:invertIfNegative val="0"/>
            <c:bubble3D val="0"/>
            <c:spPr>
              <a:solidFill>
                <a:schemeClr val="bg2">
                  <a:lumMod val="65000"/>
                </a:schemeClr>
              </a:solidFill>
              <a:ln w="31750">
                <a:solidFill>
                  <a:srgbClr val="FF0000"/>
                </a:solidFill>
                <a:prstDash val="solid"/>
              </a:ln>
            </c:spPr>
            <c:extLst>
              <c:ext xmlns:c16="http://schemas.microsoft.com/office/drawing/2014/chart" uri="{C3380CC4-5D6E-409C-BE32-E72D297353CC}">
                <c16:uniqueId val="{00000005-E9FD-460A-99C0-128CF29ADD08}"/>
              </c:ext>
            </c:extLst>
          </c:dPt>
          <c:dPt>
            <c:idx val="3"/>
            <c:invertIfNegative val="0"/>
            <c:bubble3D val="0"/>
            <c:spPr>
              <a:solidFill>
                <a:schemeClr val="bg1">
                  <a:lumMod val="85000"/>
                </a:schemeClr>
              </a:solidFill>
              <a:ln w="38100">
                <a:solidFill>
                  <a:srgbClr val="FF0000"/>
                </a:solidFill>
              </a:ln>
            </c:spPr>
            <c:extLst>
              <c:ext xmlns:c16="http://schemas.microsoft.com/office/drawing/2014/chart" uri="{C3380CC4-5D6E-409C-BE32-E72D297353CC}">
                <c16:uniqueId val="{00000007-E9FD-460A-99C0-128CF29ADD08}"/>
              </c:ext>
            </c:extLst>
          </c:dPt>
          <c:dLbls>
            <c:spPr>
              <a:noFill/>
              <a:ln w="25400">
                <a:noFill/>
              </a:ln>
            </c:spPr>
            <c:txPr>
              <a:bodyPr/>
              <a:lstStyle/>
              <a:p>
                <a:pPr>
                  <a:defRPr b="1"/>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'I.2 Operating Perfor_CONS_YTD'!$K$38:$O$38</c:f>
              <c:strCache>
                <c:ptCount val="5"/>
                <c:pt idx="0">
                  <c:v>Q1 22</c:v>
                </c:pt>
                <c:pt idx="1">
                  <c:v>Q1 23</c:v>
                </c:pt>
                <c:pt idx="2">
                  <c:v>BP Q1 23</c:v>
                </c:pt>
                <c:pt idx="3">
                  <c:v>Gap to BP Q1 2023</c:v>
                </c:pt>
                <c:pt idx="4">
                  <c:v>Progress to Actual Q1 2023</c:v>
                </c:pt>
              </c:strCache>
            </c:strRef>
          </c:cat>
          <c:val>
            <c:numRef>
              <c:f>'I.2 Operating Perfor_CONS_YTD'!$K$39:$O$39</c:f>
              <c:numCache>
                <c:formatCode>_-* #\ ##0\ _л_в_-;\-* #\ ##0\ _л_в_-;_-* "-"??\ _л_в_-;_-@_-</c:formatCode>
                <c:ptCount val="5"/>
                <c:pt idx="0">
                  <c:v>2568.9557432677293</c:v>
                </c:pt>
                <c:pt idx="1">
                  <c:v>2223.1905163910619</c:v>
                </c:pt>
                <c:pt idx="2">
                  <c:v>2926.3021734304211</c:v>
                </c:pt>
                <c:pt idx="3">
                  <c:v>-703.11165703935922</c:v>
                </c:pt>
                <c:pt idx="4">
                  <c:v>-345.76522687666738</c:v>
                </c:pt>
              </c:numCache>
            </c:numRef>
          </c:val>
          <c:extLst>
            <c:ext xmlns:c16="http://schemas.microsoft.com/office/drawing/2014/chart" uri="{C3380CC4-5D6E-409C-BE32-E72D297353CC}">
              <c16:uniqueId val="{00000008-E9FD-460A-99C0-128CF29ADD08}"/>
            </c:ext>
          </c:extLst>
        </c:ser>
        <c:dLbls>
          <c:showLegendKey val="0"/>
          <c:showVal val="0"/>
          <c:showCatName val="0"/>
          <c:showSerName val="0"/>
          <c:showPercent val="0"/>
          <c:showBubbleSize val="0"/>
        </c:dLbls>
        <c:gapWidth val="45"/>
        <c:axId val="287129824"/>
        <c:axId val="287130384"/>
      </c:barChart>
      <c:catAx>
        <c:axId val="287129824"/>
        <c:scaling>
          <c:orientation val="minMax"/>
        </c:scaling>
        <c:delete val="0"/>
        <c:axPos val="b"/>
        <c:numFmt formatCode="General" sourceLinked="1"/>
        <c:majorTickMark val="out"/>
        <c:minorTickMark val="none"/>
        <c:tickLblPos val="low"/>
        <c:txPr>
          <a:bodyPr/>
          <a:lstStyle/>
          <a:p>
            <a:pPr>
              <a:defRPr sz="1100" b="1"/>
            </a:pPr>
            <a:endParaRPr lang="fr-FR"/>
          </a:p>
        </c:txPr>
        <c:crossAx val="287130384"/>
        <c:crosses val="autoZero"/>
        <c:auto val="1"/>
        <c:lblAlgn val="ctr"/>
        <c:lblOffset val="100"/>
        <c:noMultiLvlLbl val="0"/>
      </c:catAx>
      <c:valAx>
        <c:axId val="287130384"/>
        <c:scaling>
          <c:orientation val="minMax"/>
        </c:scaling>
        <c:delete val="0"/>
        <c:axPos val="l"/>
        <c:majorGridlines/>
        <c:numFmt formatCode="_-* #\ ##0\ _л_в_-;\-* #\ ##0\ _л_в_-;_-* &quot;-&quot;??\ _л_в_-;_-@_-" sourceLinked="1"/>
        <c:majorTickMark val="out"/>
        <c:minorTickMark val="none"/>
        <c:tickLblPos val="nextTo"/>
        <c:txPr>
          <a:bodyPr/>
          <a:lstStyle/>
          <a:p>
            <a:pPr>
              <a:defRPr sz="800"/>
            </a:pPr>
            <a:endParaRPr lang="fr-FR"/>
          </a:p>
        </c:txPr>
        <c:crossAx val="287129824"/>
        <c:crosses val="autoZero"/>
        <c:crossBetween val="between"/>
      </c:valAx>
      <c:spPr>
        <a:noFill/>
        <a:ln w="25400">
          <a:noFill/>
        </a:ln>
      </c:spPr>
    </c:plotArea>
    <c:plotVisOnly val="1"/>
    <c:dispBlanksAs val="gap"/>
    <c:showDLblsOverMax val="0"/>
  </c:chart>
  <c:spPr>
    <a:noFill/>
  </c:spPr>
  <c:printSettings>
    <c:headerFooter/>
    <c:pageMargins b="0.75000000000000366" l="0.70000000000000062" r="0.70000000000000062" t="0.75000000000000366"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00">
                <a:solidFill>
                  <a:sysClr val="windowText" lastClr="000000"/>
                </a:solidFill>
              </a:defRPr>
            </a:pPr>
            <a:r>
              <a:rPr lang="en-US" sz="1200">
                <a:solidFill>
                  <a:sysClr val="windowText" lastClr="000000"/>
                </a:solidFill>
              </a:rPr>
              <a:t>Inventory structure - SNA &amp; SND</a:t>
            </a:r>
          </a:p>
        </c:rich>
      </c:tx>
      <c:overlay val="1"/>
    </c:title>
    <c:autoTitleDeleted val="0"/>
    <c:plotArea>
      <c:layout>
        <c:manualLayout>
          <c:layoutTarget val="inner"/>
          <c:xMode val="edge"/>
          <c:yMode val="edge"/>
          <c:x val="0.11298840769903719"/>
          <c:y val="0.12534435261707991"/>
          <c:w val="0.85260192475940666"/>
          <c:h val="0.73039326695733253"/>
        </c:manualLayout>
      </c:layout>
      <c:barChart>
        <c:barDir val="col"/>
        <c:grouping val="percentStacked"/>
        <c:varyColors val="0"/>
        <c:ser>
          <c:idx val="0"/>
          <c:order val="0"/>
          <c:tx>
            <c:strRef>
              <c:f>'5,6 Inventory stratificatio (2)'!$A$38</c:f>
              <c:strCache>
                <c:ptCount val="1"/>
                <c:pt idx="0">
                  <c:v>Lead-containing</c:v>
                </c:pt>
              </c:strCache>
            </c:strRef>
          </c:tx>
          <c:spPr>
            <a:solidFill>
              <a:srgbClr val="002060"/>
            </a:solidFill>
          </c:spPr>
          <c:invertIfNegative val="0"/>
          <c:dLbls>
            <c:spPr>
              <a:noFill/>
              <a:ln>
                <a:noFill/>
              </a:ln>
              <a:effectLst/>
            </c:spPr>
            <c:txPr>
              <a:bodyPr/>
              <a:lstStyle/>
              <a:p>
                <a:pPr>
                  <a:defRPr>
                    <a:solidFill>
                      <a:schemeClr val="bg1"/>
                    </a:solidFill>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'5,6 Inventory stratificatio (2)'!$B$37:$F$37</c:f>
              <c:strCache>
                <c:ptCount val="5"/>
                <c:pt idx="0">
                  <c:v>Dec'21</c:v>
                </c:pt>
                <c:pt idx="1">
                  <c:v>Mar'22</c:v>
                </c:pt>
                <c:pt idx="2">
                  <c:v>Jun'22</c:v>
                </c:pt>
                <c:pt idx="3">
                  <c:v>Sep'22</c:v>
                </c:pt>
                <c:pt idx="4">
                  <c:v>Dec'22</c:v>
                </c:pt>
              </c:strCache>
            </c:strRef>
          </c:cat>
          <c:val>
            <c:numRef>
              <c:f>'5,6 Inventory stratificatio (2)'!$B$38:$F$38</c:f>
              <c:numCache>
                <c:formatCode>0%</c:formatCode>
                <c:ptCount val="5"/>
                <c:pt idx="0">
                  <c:v>0.33909467633467094</c:v>
                </c:pt>
                <c:pt idx="1">
                  <c:v>0.30666803395984638</c:v>
                </c:pt>
                <c:pt idx="2">
                  <c:v>0.30691726881796055</c:v>
                </c:pt>
                <c:pt idx="3">
                  <c:v>0.36908474818978165</c:v>
                </c:pt>
                <c:pt idx="4">
                  <c:v>0.37327887572379881</c:v>
                </c:pt>
              </c:numCache>
            </c:numRef>
          </c:val>
          <c:extLst>
            <c:ext xmlns:c16="http://schemas.microsoft.com/office/drawing/2014/chart" uri="{C3380CC4-5D6E-409C-BE32-E72D297353CC}">
              <c16:uniqueId val="{00000000-81C1-4F4D-B19B-4AF34FDF1CE6}"/>
            </c:ext>
          </c:extLst>
        </c:ser>
        <c:ser>
          <c:idx val="1"/>
          <c:order val="1"/>
          <c:tx>
            <c:strRef>
              <c:f>'5,6 Inventory stratificatio (2)'!$A$39</c:f>
              <c:strCache>
                <c:ptCount val="1"/>
                <c:pt idx="0">
                  <c:v>RM &amp; Other</c:v>
                </c:pt>
              </c:strCache>
            </c:strRef>
          </c:tx>
          <c:spPr>
            <a:solidFill>
              <a:srgbClr val="0070C0"/>
            </a:solidFill>
          </c:spPr>
          <c:invertIfNegative val="0"/>
          <c:dLbls>
            <c:spPr>
              <a:noFill/>
              <a:ln>
                <a:noFill/>
              </a:ln>
              <a:effectLst/>
            </c:spPr>
            <c:txPr>
              <a:bodyPr/>
              <a:lstStyle/>
              <a:p>
                <a:pPr>
                  <a:defRPr>
                    <a:solidFill>
                      <a:schemeClr val="bg1"/>
                    </a:solidFill>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'5,6 Inventory stratificatio (2)'!$B$37:$F$37</c:f>
              <c:strCache>
                <c:ptCount val="5"/>
                <c:pt idx="0">
                  <c:v>Dec'21</c:v>
                </c:pt>
                <c:pt idx="1">
                  <c:v>Mar'22</c:v>
                </c:pt>
                <c:pt idx="2">
                  <c:v>Jun'22</c:v>
                </c:pt>
                <c:pt idx="3">
                  <c:v>Sep'22</c:v>
                </c:pt>
                <c:pt idx="4">
                  <c:v>Dec'22</c:v>
                </c:pt>
              </c:strCache>
            </c:strRef>
          </c:cat>
          <c:val>
            <c:numRef>
              <c:f>'5,6 Inventory stratificatio (2)'!$B$39:$F$39</c:f>
              <c:numCache>
                <c:formatCode>0%</c:formatCode>
                <c:ptCount val="5"/>
                <c:pt idx="0">
                  <c:v>0.22503006066407419</c:v>
                </c:pt>
                <c:pt idx="1">
                  <c:v>0.26736445137924714</c:v>
                </c:pt>
                <c:pt idx="2">
                  <c:v>0.20242857853859783</c:v>
                </c:pt>
                <c:pt idx="3">
                  <c:v>0.22839050087653881</c:v>
                </c:pt>
                <c:pt idx="4">
                  <c:v>0.23638996088285816</c:v>
                </c:pt>
              </c:numCache>
            </c:numRef>
          </c:val>
          <c:extLst>
            <c:ext xmlns:c16="http://schemas.microsoft.com/office/drawing/2014/chart" uri="{C3380CC4-5D6E-409C-BE32-E72D297353CC}">
              <c16:uniqueId val="{00000001-81C1-4F4D-B19B-4AF34FDF1CE6}"/>
            </c:ext>
          </c:extLst>
        </c:ser>
        <c:ser>
          <c:idx val="2"/>
          <c:order val="2"/>
          <c:tx>
            <c:strRef>
              <c:f>'5,6 Inventory stratificatio (2)'!$A$40</c:f>
              <c:strCache>
                <c:ptCount val="1"/>
                <c:pt idx="0">
                  <c:v>WIP</c:v>
                </c:pt>
              </c:strCache>
            </c:strRef>
          </c:tx>
          <c:spPr>
            <a:solidFill>
              <a:schemeClr val="bg1">
                <a:lumMod val="75000"/>
              </a:schemeClr>
            </a:solidFill>
          </c:spPr>
          <c:invertIfNegative val="0"/>
          <c:dLbls>
            <c:spPr>
              <a:noFill/>
              <a:ln>
                <a:noFill/>
              </a:ln>
              <a:effectLst/>
            </c:spPr>
            <c:txPr>
              <a:bodyPr/>
              <a:lstStyle/>
              <a:p>
                <a:pPr>
                  <a:defRPr>
                    <a:solidFill>
                      <a:sysClr val="windowText" lastClr="000000"/>
                    </a:solidFill>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'5,6 Inventory stratificatio (2)'!$B$37:$F$37</c:f>
              <c:strCache>
                <c:ptCount val="5"/>
                <c:pt idx="0">
                  <c:v>Dec'21</c:v>
                </c:pt>
                <c:pt idx="1">
                  <c:v>Mar'22</c:v>
                </c:pt>
                <c:pt idx="2">
                  <c:v>Jun'22</c:v>
                </c:pt>
                <c:pt idx="3">
                  <c:v>Sep'22</c:v>
                </c:pt>
                <c:pt idx="4">
                  <c:v>Dec'22</c:v>
                </c:pt>
              </c:strCache>
            </c:strRef>
          </c:cat>
          <c:val>
            <c:numRef>
              <c:f>'5,6 Inventory stratificatio (2)'!$B$40:$F$40</c:f>
              <c:numCache>
                <c:formatCode>0%</c:formatCode>
                <c:ptCount val="5"/>
                <c:pt idx="0">
                  <c:v>7.0355953335921081E-2</c:v>
                </c:pt>
                <c:pt idx="1">
                  <c:v>7.5119034515668315E-2</c:v>
                </c:pt>
                <c:pt idx="2">
                  <c:v>8.5649683028877627E-2</c:v>
                </c:pt>
                <c:pt idx="3">
                  <c:v>7.9303058110581595E-2</c:v>
                </c:pt>
                <c:pt idx="4">
                  <c:v>5.9713535908145161E-2</c:v>
                </c:pt>
              </c:numCache>
            </c:numRef>
          </c:val>
          <c:extLst>
            <c:ext xmlns:c16="http://schemas.microsoft.com/office/drawing/2014/chart" uri="{C3380CC4-5D6E-409C-BE32-E72D297353CC}">
              <c16:uniqueId val="{00000002-81C1-4F4D-B19B-4AF34FDF1CE6}"/>
            </c:ext>
          </c:extLst>
        </c:ser>
        <c:ser>
          <c:idx val="3"/>
          <c:order val="3"/>
          <c:tx>
            <c:strRef>
              <c:f>'5,6 Inventory stratificatio (2)'!$A$41</c:f>
              <c:strCache>
                <c:ptCount val="1"/>
                <c:pt idx="0">
                  <c:v>FG</c:v>
                </c:pt>
              </c:strCache>
            </c:strRef>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'5,6 Inventory stratificatio (2)'!$B$37:$F$37</c:f>
              <c:strCache>
                <c:ptCount val="5"/>
                <c:pt idx="0">
                  <c:v>Dec'21</c:v>
                </c:pt>
                <c:pt idx="1">
                  <c:v>Mar'22</c:v>
                </c:pt>
                <c:pt idx="2">
                  <c:v>Jun'22</c:v>
                </c:pt>
                <c:pt idx="3">
                  <c:v>Sep'22</c:v>
                </c:pt>
                <c:pt idx="4">
                  <c:v>Dec'22</c:v>
                </c:pt>
              </c:strCache>
            </c:strRef>
          </c:cat>
          <c:val>
            <c:numRef>
              <c:f>'5,6 Inventory stratificatio (2)'!$B$41:$F$41</c:f>
              <c:numCache>
                <c:formatCode>0%</c:formatCode>
                <c:ptCount val="5"/>
                <c:pt idx="0">
                  <c:v>0.36551930966533375</c:v>
                </c:pt>
                <c:pt idx="1">
                  <c:v>0.35084848014523812</c:v>
                </c:pt>
                <c:pt idx="2">
                  <c:v>0.40500446961456404</c:v>
                </c:pt>
                <c:pt idx="3">
                  <c:v>0.32322169282309809</c:v>
                </c:pt>
                <c:pt idx="4">
                  <c:v>0.33061762748519802</c:v>
                </c:pt>
              </c:numCache>
            </c:numRef>
          </c:val>
          <c:extLst>
            <c:ext xmlns:c16="http://schemas.microsoft.com/office/drawing/2014/chart" uri="{C3380CC4-5D6E-409C-BE32-E72D297353CC}">
              <c16:uniqueId val="{00000003-81C1-4F4D-B19B-4AF34FDF1CE6}"/>
            </c:ext>
          </c:extLst>
        </c:ser>
        <c:dLbls>
          <c:showLegendKey val="0"/>
          <c:showVal val="0"/>
          <c:showCatName val="0"/>
          <c:showSerName val="0"/>
          <c:showPercent val="0"/>
          <c:showBubbleSize val="0"/>
        </c:dLbls>
        <c:gapWidth val="57"/>
        <c:overlap val="100"/>
        <c:axId val="211556992"/>
        <c:axId val="211571072"/>
      </c:barChart>
      <c:catAx>
        <c:axId val="211556992"/>
        <c:scaling>
          <c:orientation val="minMax"/>
        </c:scaling>
        <c:delete val="0"/>
        <c:axPos val="b"/>
        <c:numFmt formatCode="General" sourceLinked="0"/>
        <c:majorTickMark val="out"/>
        <c:minorTickMark val="none"/>
        <c:tickLblPos val="nextTo"/>
        <c:txPr>
          <a:bodyPr/>
          <a:lstStyle/>
          <a:p>
            <a:pPr>
              <a:defRPr b="1"/>
            </a:pPr>
            <a:endParaRPr lang="fr-FR"/>
          </a:p>
        </c:txPr>
        <c:crossAx val="211571072"/>
        <c:crosses val="autoZero"/>
        <c:auto val="1"/>
        <c:lblAlgn val="ctr"/>
        <c:lblOffset val="100"/>
        <c:noMultiLvlLbl val="0"/>
      </c:catAx>
      <c:valAx>
        <c:axId val="211571072"/>
        <c:scaling>
          <c:orientation val="minMax"/>
        </c:scaling>
        <c:delete val="0"/>
        <c:axPos val="l"/>
        <c:majorGridlines/>
        <c:numFmt formatCode="0%" sourceLinked="1"/>
        <c:majorTickMark val="out"/>
        <c:minorTickMark val="none"/>
        <c:tickLblPos val="nextTo"/>
        <c:crossAx val="211556992"/>
        <c:crosses val="autoZero"/>
        <c:crossBetween val="between"/>
      </c:valAx>
      <c:spPr>
        <a:noFill/>
      </c:spPr>
    </c:plotArea>
    <c:legend>
      <c:legendPos val="r"/>
      <c:layout>
        <c:manualLayout>
          <c:xMode val="edge"/>
          <c:yMode val="edge"/>
          <c:x val="0.112886764064657"/>
          <c:y val="0.92350059735475276"/>
          <c:w val="0.79956189862313454"/>
          <c:h val="5.4926315710004003E-2"/>
        </c:manualLayout>
      </c:layout>
      <c:overlay val="0"/>
    </c:legend>
    <c:plotVisOnly val="1"/>
    <c:dispBlanksAs val="gap"/>
    <c:showDLblsOverMax val="0"/>
  </c:chart>
  <c:spPr>
    <a:noFill/>
  </c:spPr>
  <c:printSettings>
    <c:headerFooter/>
    <c:pageMargins b="0.75000000000000155" l="0.70000000000000062" r="0.70000000000000062" t="0.75000000000000155"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solidFill>
                  <a:sysClr val="windowText" lastClr="000000"/>
                </a:solidFill>
              </a:defRPr>
            </a:pPr>
            <a:r>
              <a:rPr lang="en-GB" sz="1200">
                <a:solidFill>
                  <a:sysClr val="windowText" lastClr="000000"/>
                </a:solidFill>
              </a:rPr>
              <a:t>Interest Cost, FX &amp; Bank charges Dynamics</a:t>
            </a:r>
          </a:p>
        </c:rich>
      </c:tx>
      <c:layout>
        <c:manualLayout>
          <c:xMode val="edge"/>
          <c:yMode val="edge"/>
          <c:x val="0.40600586232832814"/>
          <c:y val="5.696676639588763E-2"/>
        </c:manualLayout>
      </c:layout>
      <c:overlay val="1"/>
    </c:title>
    <c:autoTitleDeleted val="0"/>
    <c:plotArea>
      <c:layout>
        <c:manualLayout>
          <c:layoutTarget val="inner"/>
          <c:xMode val="edge"/>
          <c:yMode val="edge"/>
          <c:x val="9.0438436120056379E-2"/>
          <c:y val="0.21560256185124482"/>
          <c:w val="0.88115048118985129"/>
          <c:h val="0.64801892086048163"/>
        </c:manualLayout>
      </c:layout>
      <c:barChart>
        <c:barDir val="col"/>
        <c:grouping val="stacked"/>
        <c:varyColors val="0"/>
        <c:ser>
          <c:idx val="0"/>
          <c:order val="0"/>
          <c:tx>
            <c:strRef>
              <c:f>'6.1 Fin_strenght-Net Profit Dec'!$D$32</c:f>
              <c:strCache>
                <c:ptCount val="1"/>
                <c:pt idx="0">
                  <c:v>Ends</c:v>
                </c:pt>
              </c:strCache>
            </c:strRef>
          </c:tx>
          <c:spPr>
            <a:solidFill>
              <a:srgbClr val="0070C0"/>
            </a:solidFill>
            <a:ln w="31750">
              <a:solidFill>
                <a:srgbClr val="FF0000"/>
              </a:solidFill>
            </a:ln>
          </c:spPr>
          <c:invertIfNegative val="0"/>
          <c:dLbls>
            <c:spPr>
              <a:noFill/>
              <a:ln>
                <a:noFill/>
              </a:ln>
              <a:effectLst/>
            </c:spPr>
            <c:txPr>
              <a:bodyPr/>
              <a:lstStyle/>
              <a:p>
                <a:pPr>
                  <a:defRPr b="1">
                    <a:solidFill>
                      <a:schemeClr val="bg1"/>
                    </a:solidFill>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'6.1 Fin_strenght-Net Profit Dec'!$B$33:$B$36</c:f>
              <c:strCache>
                <c:ptCount val="4"/>
                <c:pt idx="0">
                  <c:v>YTD Dec'21</c:v>
                </c:pt>
                <c:pt idx="1">
                  <c:v>Interest cost</c:v>
                </c:pt>
                <c:pt idx="2">
                  <c:v>FX &amp; Bank chages</c:v>
                </c:pt>
                <c:pt idx="3">
                  <c:v>YTD Dec'22</c:v>
                </c:pt>
              </c:strCache>
            </c:strRef>
          </c:cat>
          <c:val>
            <c:numRef>
              <c:f>'6.1 Fin_strenght-Net Profit Dec'!$D$33:$D$36</c:f>
              <c:numCache>
                <c:formatCode>_-* #\ ##0_-;\-* #\ ##0_-;_-* "-"??_-;_-@_-</c:formatCode>
                <c:ptCount val="4"/>
                <c:pt idx="0">
                  <c:v>523.31708200640844</c:v>
                </c:pt>
                <c:pt idx="3">
                  <c:v>561.57281822786285</c:v>
                </c:pt>
              </c:numCache>
            </c:numRef>
          </c:val>
          <c:extLst>
            <c:ext xmlns:c16="http://schemas.microsoft.com/office/drawing/2014/chart" uri="{C3380CC4-5D6E-409C-BE32-E72D297353CC}">
              <c16:uniqueId val="{00000000-148D-45DA-88EC-5AA69A6D67C9}"/>
            </c:ext>
          </c:extLst>
        </c:ser>
        <c:ser>
          <c:idx val="1"/>
          <c:order val="1"/>
          <c:tx>
            <c:strRef>
              <c:f>'6.1 Fin_strenght-Net Profit Dec'!$E$32</c:f>
              <c:strCache>
                <c:ptCount val="1"/>
                <c:pt idx="0">
                  <c:v>Blank</c:v>
                </c:pt>
              </c:strCache>
            </c:strRef>
          </c:tx>
          <c:spPr>
            <a:ln>
              <a:noFill/>
            </a:ln>
          </c:spPr>
          <c:invertIfNegative val="0"/>
          <c:dPt>
            <c:idx val="1"/>
            <c:invertIfNegative val="0"/>
            <c:bubble3D val="0"/>
            <c:spPr>
              <a:noFill/>
              <a:ln>
                <a:noFill/>
              </a:ln>
            </c:spPr>
            <c:extLst>
              <c:ext xmlns:c16="http://schemas.microsoft.com/office/drawing/2014/chart" uri="{C3380CC4-5D6E-409C-BE32-E72D297353CC}">
                <c16:uniqueId val="{00000001-DD8B-4C33-80E2-C55CBD09DC65}"/>
              </c:ext>
            </c:extLst>
          </c:dPt>
          <c:dPt>
            <c:idx val="2"/>
            <c:invertIfNegative val="0"/>
            <c:bubble3D val="0"/>
            <c:spPr>
              <a:noFill/>
              <a:ln>
                <a:noFill/>
              </a:ln>
            </c:spPr>
            <c:extLst>
              <c:ext xmlns:c16="http://schemas.microsoft.com/office/drawing/2014/chart" uri="{C3380CC4-5D6E-409C-BE32-E72D297353CC}">
                <c16:uniqueId val="{00000002-DD8B-4C33-80E2-C55CBD09DC65}"/>
              </c:ext>
            </c:extLst>
          </c:dPt>
          <c:cat>
            <c:strRef>
              <c:f>'6.1 Fin_strenght-Net Profit Dec'!$B$33:$B$36</c:f>
              <c:strCache>
                <c:ptCount val="4"/>
                <c:pt idx="0">
                  <c:v>YTD Dec'21</c:v>
                </c:pt>
                <c:pt idx="1">
                  <c:v>Interest cost</c:v>
                </c:pt>
                <c:pt idx="2">
                  <c:v>FX &amp; Bank chages</c:v>
                </c:pt>
                <c:pt idx="3">
                  <c:v>YTD Dec'22</c:v>
                </c:pt>
              </c:strCache>
            </c:strRef>
          </c:cat>
          <c:val>
            <c:numRef>
              <c:f>'6.1 Fin_strenght-Net Profit Dec'!$E$33:$E$35</c:f>
              <c:numCache>
                <c:formatCode>_-* #\ ##0_-;\-* #\ ##0_-;_-* "-"??_-;_-@_-</c:formatCode>
                <c:ptCount val="3"/>
                <c:pt idx="1">
                  <c:v>523.31708200640844</c:v>
                </c:pt>
                <c:pt idx="2">
                  <c:v>561.57281822786285</c:v>
                </c:pt>
              </c:numCache>
            </c:numRef>
          </c:val>
          <c:extLst>
            <c:ext xmlns:c16="http://schemas.microsoft.com/office/drawing/2014/chart" uri="{C3380CC4-5D6E-409C-BE32-E72D297353CC}">
              <c16:uniqueId val="{00000001-148D-45DA-88EC-5AA69A6D67C9}"/>
            </c:ext>
          </c:extLst>
        </c:ser>
        <c:ser>
          <c:idx val="2"/>
          <c:order val="2"/>
          <c:tx>
            <c:strRef>
              <c:f>'6.1 Fin_strenght-Net Profit Dec'!$F$32</c:f>
              <c:strCache>
                <c:ptCount val="1"/>
                <c:pt idx="0">
                  <c:v>Up</c:v>
                </c:pt>
              </c:strCache>
            </c:strRef>
          </c:tx>
          <c:spPr>
            <a:solidFill>
              <a:schemeClr val="bg1"/>
            </a:solidFill>
            <a:ln w="25400">
              <a:solidFill>
                <a:srgbClr val="FF0000"/>
              </a:solidFill>
            </a:ln>
          </c:spPr>
          <c:invertIfNegative val="0"/>
          <c:dLbls>
            <c:dLbl>
              <c:idx val="2"/>
              <c:delete val="1"/>
              <c:extLst>
                <c:ext xmlns:c15="http://schemas.microsoft.com/office/drawing/2012/chart" uri="{CE6537A1-D6FC-4f65-9D91-7224C49458BB}"/>
                <c:ext xmlns:c16="http://schemas.microsoft.com/office/drawing/2014/chart" uri="{C3380CC4-5D6E-409C-BE32-E72D297353CC}">
                  <c16:uniqueId val="{00000003-DD8B-4C33-80E2-C55CBD09DC65}"/>
                </c:ext>
              </c:extLst>
            </c:dLbl>
            <c:spPr>
              <a:noFill/>
              <a:ln>
                <a:noFill/>
              </a:ln>
              <a:effectLst/>
            </c:spPr>
            <c:txPr>
              <a:bodyPr wrap="square" lIns="38100" tIns="19050" rIns="38100" bIns="19050" anchor="ctr">
                <a:spAutoFit/>
              </a:bodyPr>
              <a:lstStyle/>
              <a:p>
                <a:pPr>
                  <a:defRPr b="1"/>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'6.1 Fin_strenght-Net Profit Dec'!$B$33:$B$36</c:f>
              <c:strCache>
                <c:ptCount val="4"/>
                <c:pt idx="0">
                  <c:v>YTD Dec'21</c:v>
                </c:pt>
                <c:pt idx="1">
                  <c:v>Interest cost</c:v>
                </c:pt>
                <c:pt idx="2">
                  <c:v>FX &amp; Bank chages</c:v>
                </c:pt>
                <c:pt idx="3">
                  <c:v>YTD Dec'22</c:v>
                </c:pt>
              </c:strCache>
            </c:strRef>
          </c:cat>
          <c:val>
            <c:numRef>
              <c:f>'6.1 Fin_strenght-Net Profit Dec'!$F$33:$F$35</c:f>
              <c:numCache>
                <c:formatCode>_-* #\ ##0_-;\-* #\ ##0_-;_-* "-"??_-;_-@_-</c:formatCode>
                <c:ptCount val="3"/>
                <c:pt idx="1">
                  <c:v>61.666901971563277</c:v>
                </c:pt>
                <c:pt idx="2">
                  <c:v>0</c:v>
                </c:pt>
              </c:numCache>
            </c:numRef>
          </c:val>
          <c:extLst>
            <c:ext xmlns:c16="http://schemas.microsoft.com/office/drawing/2014/chart" uri="{C3380CC4-5D6E-409C-BE32-E72D297353CC}">
              <c16:uniqueId val="{00000002-148D-45DA-88EC-5AA69A6D67C9}"/>
            </c:ext>
          </c:extLst>
        </c:ser>
        <c:ser>
          <c:idx val="3"/>
          <c:order val="3"/>
          <c:tx>
            <c:strRef>
              <c:f>'6.1 Fin_strenght-Net Profit Dec'!$G$32</c:f>
              <c:strCache>
                <c:ptCount val="1"/>
                <c:pt idx="0">
                  <c:v>Down</c:v>
                </c:pt>
              </c:strCache>
            </c:strRef>
          </c:tx>
          <c:spPr>
            <a:solidFill>
              <a:sysClr val="window" lastClr="FFFFFF"/>
            </a:solidFill>
            <a:ln w="31750">
              <a:solidFill>
                <a:srgbClr val="FF0000"/>
              </a:solidFill>
            </a:ln>
          </c:spPr>
          <c:invertIfNegative val="0"/>
          <c:dPt>
            <c:idx val="2"/>
            <c:invertIfNegative val="0"/>
            <c:bubble3D val="0"/>
            <c:spPr>
              <a:solidFill>
                <a:sysClr val="window" lastClr="FFFFFF"/>
              </a:solidFill>
              <a:ln w="31750">
                <a:solidFill>
                  <a:srgbClr val="00B050"/>
                </a:solidFill>
              </a:ln>
            </c:spPr>
            <c:extLst>
              <c:ext xmlns:c16="http://schemas.microsoft.com/office/drawing/2014/chart" uri="{C3380CC4-5D6E-409C-BE32-E72D297353CC}">
                <c16:uniqueId val="{00000004-148D-45DA-88EC-5AA69A6D67C9}"/>
              </c:ext>
            </c:extLst>
          </c:dPt>
          <c:dLbls>
            <c:dLbl>
              <c:idx val="1"/>
              <c:delete val="1"/>
              <c:extLst>
                <c:ext xmlns:c15="http://schemas.microsoft.com/office/drawing/2012/chart" uri="{CE6537A1-D6FC-4f65-9D91-7224C49458BB}"/>
                <c:ext xmlns:c16="http://schemas.microsoft.com/office/drawing/2014/chart" uri="{C3380CC4-5D6E-409C-BE32-E72D297353CC}">
                  <c16:uniqueId val="{00000003-148D-45DA-88EC-5AA69A6D67C9}"/>
                </c:ext>
              </c:extLst>
            </c:dLbl>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'6.1 Fin_strenght-Net Profit Dec'!$B$33:$B$36</c:f>
              <c:strCache>
                <c:ptCount val="4"/>
                <c:pt idx="0">
                  <c:v>YTD Dec'21</c:v>
                </c:pt>
                <c:pt idx="1">
                  <c:v>Interest cost</c:v>
                </c:pt>
                <c:pt idx="2">
                  <c:v>FX &amp; Bank chages</c:v>
                </c:pt>
                <c:pt idx="3">
                  <c:v>YTD Dec'22</c:v>
                </c:pt>
              </c:strCache>
            </c:strRef>
          </c:cat>
          <c:val>
            <c:numRef>
              <c:f>'6.1 Fin_strenght-Net Profit Dec'!$G$33:$G$35</c:f>
              <c:numCache>
                <c:formatCode>_-* #\ ##0_-;\-* #\ ##0_-;_-* "-"??_-;_-@_-</c:formatCode>
                <c:ptCount val="3"/>
                <c:pt idx="1">
                  <c:v>0</c:v>
                </c:pt>
                <c:pt idx="2">
                  <c:v>23.411165750108921</c:v>
                </c:pt>
              </c:numCache>
            </c:numRef>
          </c:val>
          <c:extLst>
            <c:ext xmlns:c16="http://schemas.microsoft.com/office/drawing/2014/chart" uri="{C3380CC4-5D6E-409C-BE32-E72D297353CC}">
              <c16:uniqueId val="{00000005-148D-45DA-88EC-5AA69A6D67C9}"/>
            </c:ext>
          </c:extLst>
        </c:ser>
        <c:dLbls>
          <c:showLegendKey val="0"/>
          <c:showVal val="0"/>
          <c:showCatName val="0"/>
          <c:showSerName val="0"/>
          <c:showPercent val="0"/>
          <c:showBubbleSize val="0"/>
        </c:dLbls>
        <c:gapWidth val="7"/>
        <c:overlap val="100"/>
        <c:axId val="105588992"/>
        <c:axId val="105594880"/>
      </c:barChart>
      <c:catAx>
        <c:axId val="105588992"/>
        <c:scaling>
          <c:orientation val="minMax"/>
        </c:scaling>
        <c:delete val="0"/>
        <c:axPos val="b"/>
        <c:numFmt formatCode="General" sourceLinked="1"/>
        <c:majorTickMark val="out"/>
        <c:minorTickMark val="none"/>
        <c:tickLblPos val="nextTo"/>
        <c:txPr>
          <a:bodyPr/>
          <a:lstStyle/>
          <a:p>
            <a:pPr>
              <a:defRPr sz="1000" b="1"/>
            </a:pPr>
            <a:endParaRPr lang="fr-FR"/>
          </a:p>
        </c:txPr>
        <c:crossAx val="105594880"/>
        <c:crosses val="autoZero"/>
        <c:auto val="1"/>
        <c:lblAlgn val="ctr"/>
        <c:lblOffset val="100"/>
        <c:noMultiLvlLbl val="0"/>
      </c:catAx>
      <c:valAx>
        <c:axId val="105594880"/>
        <c:scaling>
          <c:orientation val="minMax"/>
          <c:max val="600"/>
          <c:min val="400"/>
        </c:scaling>
        <c:delete val="0"/>
        <c:axPos val="l"/>
        <c:majorGridlines/>
        <c:numFmt formatCode="_-* #\ ##0_-;\-* #\ ##0_-;_-* &quot;-&quot;??_-;_-@_-" sourceLinked="1"/>
        <c:majorTickMark val="out"/>
        <c:minorTickMark val="none"/>
        <c:tickLblPos val="nextTo"/>
        <c:crossAx val="105588992"/>
        <c:crosses val="autoZero"/>
        <c:crossBetween val="between"/>
        <c:majorUnit val="50"/>
      </c:valAx>
      <c:spPr>
        <a:noFill/>
      </c:spPr>
    </c:plotArea>
    <c:plotVisOnly val="1"/>
    <c:dispBlanksAs val="gap"/>
    <c:showDLblsOverMax val="0"/>
  </c:chart>
  <c:spPr>
    <a:noFill/>
    <a:ln>
      <a:solidFill>
        <a:schemeClr val="tx1"/>
      </a:solidFill>
    </a:ln>
  </c:spPr>
  <c:printSettings>
    <c:headerFooter/>
    <c:pageMargins b="0.75000000000000244" l="0.70000000000000062" r="0.70000000000000062" t="0.75000000000000244" header="0.30000000000000032" footer="0.30000000000000032"/>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solidFill>
                  <a:sysClr val="windowText" lastClr="000000"/>
                </a:solidFill>
              </a:defRPr>
            </a:pPr>
            <a:r>
              <a:rPr lang="en-GB" sz="1200">
                <a:solidFill>
                  <a:sysClr val="windowText" lastClr="000000"/>
                </a:solidFill>
              </a:rPr>
              <a:t>Interest Cost, FX &amp; Bank charges Dynamics</a:t>
            </a:r>
          </a:p>
        </c:rich>
      </c:tx>
      <c:layout>
        <c:manualLayout>
          <c:xMode val="edge"/>
          <c:yMode val="edge"/>
          <c:x val="0.40600586232832814"/>
          <c:y val="5.696676639588763E-2"/>
        </c:manualLayout>
      </c:layout>
      <c:overlay val="1"/>
    </c:title>
    <c:autoTitleDeleted val="0"/>
    <c:plotArea>
      <c:layout>
        <c:manualLayout>
          <c:layoutTarget val="inner"/>
          <c:xMode val="edge"/>
          <c:yMode val="edge"/>
          <c:x val="8.8293963254593266E-2"/>
          <c:y val="0.21560274055833406"/>
          <c:w val="0.88115048118985129"/>
          <c:h val="0.64801892086048163"/>
        </c:manualLayout>
      </c:layout>
      <c:barChart>
        <c:barDir val="col"/>
        <c:grouping val="stacked"/>
        <c:varyColors val="0"/>
        <c:ser>
          <c:idx val="0"/>
          <c:order val="0"/>
          <c:tx>
            <c:strRef>
              <c:f>'6.1 Fin_strenght-Net Profit Sep'!$D$32</c:f>
              <c:strCache>
                <c:ptCount val="1"/>
                <c:pt idx="0">
                  <c:v>Ends</c:v>
                </c:pt>
              </c:strCache>
            </c:strRef>
          </c:tx>
          <c:spPr>
            <a:solidFill>
              <a:srgbClr val="0070C0"/>
            </a:solidFill>
            <a:ln w="31750">
              <a:solidFill>
                <a:srgbClr val="FF0000"/>
              </a:solidFill>
            </a:ln>
          </c:spPr>
          <c:invertIfNegative val="0"/>
          <c:dLbls>
            <c:spPr>
              <a:noFill/>
              <a:ln>
                <a:noFill/>
              </a:ln>
              <a:effectLst/>
            </c:spPr>
            <c:txPr>
              <a:bodyPr/>
              <a:lstStyle/>
              <a:p>
                <a:pPr>
                  <a:defRPr b="1">
                    <a:solidFill>
                      <a:schemeClr val="bg1"/>
                    </a:solidFill>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'6.1 Fin_strenght-Net Profit Sep'!$B$33:$B$36</c:f>
              <c:strCache>
                <c:ptCount val="4"/>
                <c:pt idx="0">
                  <c:v>YTD Sep'21</c:v>
                </c:pt>
                <c:pt idx="1">
                  <c:v>Interest cost</c:v>
                </c:pt>
                <c:pt idx="2">
                  <c:v>FX &amp; Bank chages</c:v>
                </c:pt>
                <c:pt idx="3">
                  <c:v>YTD Sep'22</c:v>
                </c:pt>
              </c:strCache>
            </c:strRef>
          </c:cat>
          <c:val>
            <c:numRef>
              <c:f>'6.1 Fin_strenght-Net Profit Sep'!$D$33:$D$36</c:f>
              <c:numCache>
                <c:formatCode>_-* #\ ##0_-;\-* #\ ##0_-;_-* "-"??_-;_-@_-</c:formatCode>
                <c:ptCount val="4"/>
                <c:pt idx="0">
                  <c:v>357.06110058775164</c:v>
                </c:pt>
                <c:pt idx="3">
                  <c:v>480.91904406534059</c:v>
                </c:pt>
              </c:numCache>
            </c:numRef>
          </c:val>
          <c:extLst>
            <c:ext xmlns:c16="http://schemas.microsoft.com/office/drawing/2014/chart" uri="{C3380CC4-5D6E-409C-BE32-E72D297353CC}">
              <c16:uniqueId val="{00000000-53B5-4989-B514-710E09FD191E}"/>
            </c:ext>
          </c:extLst>
        </c:ser>
        <c:ser>
          <c:idx val="1"/>
          <c:order val="1"/>
          <c:tx>
            <c:strRef>
              <c:f>'6.1 Fin_strenght-Net Profit Sep'!$E$32</c:f>
              <c:strCache>
                <c:ptCount val="1"/>
                <c:pt idx="0">
                  <c:v>Blank</c:v>
                </c:pt>
              </c:strCache>
            </c:strRef>
          </c:tx>
          <c:spPr>
            <a:noFill/>
          </c:spPr>
          <c:invertIfNegative val="0"/>
          <c:cat>
            <c:strRef>
              <c:f>'6.1 Fin_strenght-Net Profit Sep'!$B$33:$B$36</c:f>
              <c:strCache>
                <c:ptCount val="4"/>
                <c:pt idx="0">
                  <c:v>YTD Sep'21</c:v>
                </c:pt>
                <c:pt idx="1">
                  <c:v>Interest cost</c:v>
                </c:pt>
                <c:pt idx="2">
                  <c:v>FX &amp; Bank chages</c:v>
                </c:pt>
                <c:pt idx="3">
                  <c:v>YTD Sep'22</c:v>
                </c:pt>
              </c:strCache>
            </c:strRef>
          </c:cat>
          <c:val>
            <c:numRef>
              <c:f>'6.1 Fin_strenght-Net Profit Sep'!$E$33:$E$35</c:f>
              <c:numCache>
                <c:formatCode>_-* #\ ##0_-;\-* #\ ##0_-;_-* "-"??_-;_-@_-</c:formatCode>
                <c:ptCount val="3"/>
                <c:pt idx="1">
                  <c:v>357.06110058775164</c:v>
                </c:pt>
                <c:pt idx="2">
                  <c:v>458.74862591504274</c:v>
                </c:pt>
              </c:numCache>
            </c:numRef>
          </c:val>
          <c:extLst>
            <c:ext xmlns:c16="http://schemas.microsoft.com/office/drawing/2014/chart" uri="{C3380CC4-5D6E-409C-BE32-E72D297353CC}">
              <c16:uniqueId val="{00000001-53B5-4989-B514-710E09FD191E}"/>
            </c:ext>
          </c:extLst>
        </c:ser>
        <c:ser>
          <c:idx val="2"/>
          <c:order val="2"/>
          <c:tx>
            <c:strRef>
              <c:f>'6.1 Fin_strenght-Net Profit Sep'!$F$32</c:f>
              <c:strCache>
                <c:ptCount val="1"/>
                <c:pt idx="0">
                  <c:v>Up</c:v>
                </c:pt>
              </c:strCache>
            </c:strRef>
          </c:tx>
          <c:spPr>
            <a:solidFill>
              <a:sysClr val="window" lastClr="FFFFFF"/>
            </a:solidFill>
            <a:ln w="31750">
              <a:solidFill>
                <a:srgbClr val="00B050"/>
              </a:solidFill>
            </a:ln>
          </c:spPr>
          <c:invertIfNegative val="0"/>
          <c:dLbls>
            <c:spPr>
              <a:noFill/>
              <a:ln>
                <a:noFill/>
              </a:ln>
              <a:effectLst/>
            </c:spPr>
            <c:txPr>
              <a:bodyPr wrap="square" lIns="38100" tIns="19050" rIns="38100" bIns="19050" anchor="ctr">
                <a:spAutoFit/>
              </a:bodyPr>
              <a:lstStyle/>
              <a:p>
                <a:pPr>
                  <a:defRPr b="1"/>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'6.1 Fin_strenght-Net Profit Sep'!$B$33:$B$36</c:f>
              <c:strCache>
                <c:ptCount val="4"/>
                <c:pt idx="0">
                  <c:v>YTD Sep'21</c:v>
                </c:pt>
                <c:pt idx="1">
                  <c:v>Interest cost</c:v>
                </c:pt>
                <c:pt idx="2">
                  <c:v>FX &amp; Bank chages</c:v>
                </c:pt>
                <c:pt idx="3">
                  <c:v>YTD Sep'22</c:v>
                </c:pt>
              </c:strCache>
            </c:strRef>
          </c:cat>
          <c:val>
            <c:numRef>
              <c:f>'6.1 Fin_strenght-Net Profit Sep'!$F$33:$F$35</c:f>
              <c:numCache>
                <c:formatCode>_-* #\ ##0_-;\-* #\ ##0_-;_-* "-"??_-;_-@_-</c:formatCode>
                <c:ptCount val="3"/>
                <c:pt idx="1">
                  <c:v>101.6875253272911</c:v>
                </c:pt>
                <c:pt idx="2">
                  <c:v>22.170418150297831</c:v>
                </c:pt>
              </c:numCache>
            </c:numRef>
          </c:val>
          <c:extLst>
            <c:ext xmlns:c16="http://schemas.microsoft.com/office/drawing/2014/chart" uri="{C3380CC4-5D6E-409C-BE32-E72D297353CC}">
              <c16:uniqueId val="{00000004-53B5-4989-B514-710E09FD191E}"/>
            </c:ext>
          </c:extLst>
        </c:ser>
        <c:ser>
          <c:idx val="3"/>
          <c:order val="3"/>
          <c:tx>
            <c:strRef>
              <c:f>'6.1 Fin_strenght-Net Profit Sep'!$G$32</c:f>
              <c:strCache>
                <c:ptCount val="1"/>
                <c:pt idx="0">
                  <c:v>Down</c:v>
                </c:pt>
              </c:strCache>
            </c:strRef>
          </c:tx>
          <c:spPr>
            <a:solidFill>
              <a:sysClr val="window" lastClr="FFFFFF"/>
            </a:solidFill>
            <a:ln w="31750">
              <a:solidFill>
                <a:srgbClr val="FF0000"/>
              </a:solidFill>
            </a:ln>
          </c:spPr>
          <c:invertIfNegative val="0"/>
          <c:dLbls>
            <c:dLbl>
              <c:idx val="1"/>
              <c:delete val="1"/>
              <c:extLst>
                <c:ext xmlns:c15="http://schemas.microsoft.com/office/drawing/2012/chart" uri="{CE6537A1-D6FC-4f65-9D91-7224C49458BB}"/>
                <c:ext xmlns:c16="http://schemas.microsoft.com/office/drawing/2014/chart" uri="{C3380CC4-5D6E-409C-BE32-E72D297353CC}">
                  <c16:uniqueId val="{00000005-53B5-4989-B514-710E09FD191E}"/>
                </c:ext>
              </c:extLst>
            </c:dLbl>
            <c:dLbl>
              <c:idx val="2"/>
              <c:delete val="1"/>
              <c:extLst>
                <c:ext xmlns:c15="http://schemas.microsoft.com/office/drawing/2012/chart" uri="{CE6537A1-D6FC-4f65-9D91-7224C49458BB}"/>
                <c:ext xmlns:c16="http://schemas.microsoft.com/office/drawing/2014/chart" uri="{C3380CC4-5D6E-409C-BE32-E72D297353CC}">
                  <c16:uniqueId val="{00000000-1C44-4C4C-A70F-3337A41E4DCB}"/>
                </c:ext>
              </c:extLst>
            </c:dLbl>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'6.1 Fin_strenght-Net Profit Sep'!$B$33:$B$36</c:f>
              <c:strCache>
                <c:ptCount val="4"/>
                <c:pt idx="0">
                  <c:v>YTD Sep'21</c:v>
                </c:pt>
                <c:pt idx="1">
                  <c:v>Interest cost</c:v>
                </c:pt>
                <c:pt idx="2">
                  <c:v>FX &amp; Bank chages</c:v>
                </c:pt>
                <c:pt idx="3">
                  <c:v>YTD Sep'22</c:v>
                </c:pt>
              </c:strCache>
            </c:strRef>
          </c:cat>
          <c:val>
            <c:numRef>
              <c:f>'6.1 Fin_strenght-Net Profit Sep'!$G$33:$G$35</c:f>
              <c:numCache>
                <c:formatCode>_-* #\ ##0_-;\-* #\ ##0_-;_-* "-"??_-;_-@_-</c:formatCode>
                <c:ptCount val="3"/>
                <c:pt idx="1">
                  <c:v>0</c:v>
                </c:pt>
                <c:pt idx="2">
                  <c:v>0</c:v>
                </c:pt>
              </c:numCache>
            </c:numRef>
          </c:val>
          <c:extLst>
            <c:ext xmlns:c16="http://schemas.microsoft.com/office/drawing/2014/chart" uri="{C3380CC4-5D6E-409C-BE32-E72D297353CC}">
              <c16:uniqueId val="{00000006-53B5-4989-B514-710E09FD191E}"/>
            </c:ext>
          </c:extLst>
        </c:ser>
        <c:dLbls>
          <c:showLegendKey val="0"/>
          <c:showVal val="0"/>
          <c:showCatName val="0"/>
          <c:showSerName val="0"/>
          <c:showPercent val="0"/>
          <c:showBubbleSize val="0"/>
        </c:dLbls>
        <c:gapWidth val="7"/>
        <c:overlap val="100"/>
        <c:axId val="105588992"/>
        <c:axId val="105594880"/>
      </c:barChart>
      <c:catAx>
        <c:axId val="105588992"/>
        <c:scaling>
          <c:orientation val="minMax"/>
        </c:scaling>
        <c:delete val="0"/>
        <c:axPos val="b"/>
        <c:numFmt formatCode="General" sourceLinked="1"/>
        <c:majorTickMark val="out"/>
        <c:minorTickMark val="none"/>
        <c:tickLblPos val="nextTo"/>
        <c:txPr>
          <a:bodyPr/>
          <a:lstStyle/>
          <a:p>
            <a:pPr>
              <a:defRPr sz="1000" b="1"/>
            </a:pPr>
            <a:endParaRPr lang="fr-FR"/>
          </a:p>
        </c:txPr>
        <c:crossAx val="105594880"/>
        <c:crosses val="autoZero"/>
        <c:auto val="1"/>
        <c:lblAlgn val="ctr"/>
        <c:lblOffset val="100"/>
        <c:noMultiLvlLbl val="0"/>
      </c:catAx>
      <c:valAx>
        <c:axId val="105594880"/>
        <c:scaling>
          <c:orientation val="minMax"/>
          <c:max val="500"/>
          <c:min val="300"/>
        </c:scaling>
        <c:delete val="0"/>
        <c:axPos val="l"/>
        <c:majorGridlines/>
        <c:numFmt formatCode="_-* #\ ##0_-;\-* #\ ##0_-;_-* &quot;-&quot;??_-;_-@_-" sourceLinked="1"/>
        <c:majorTickMark val="out"/>
        <c:minorTickMark val="none"/>
        <c:tickLblPos val="nextTo"/>
        <c:crossAx val="105588992"/>
        <c:crosses val="autoZero"/>
        <c:crossBetween val="between"/>
        <c:majorUnit val="25"/>
      </c:valAx>
      <c:spPr>
        <a:noFill/>
      </c:spPr>
    </c:plotArea>
    <c:plotVisOnly val="1"/>
    <c:dispBlanksAs val="gap"/>
    <c:showDLblsOverMax val="0"/>
  </c:chart>
  <c:spPr>
    <a:noFill/>
    <a:ln>
      <a:solidFill>
        <a:schemeClr val="tx1"/>
      </a:solidFill>
    </a:ln>
  </c:spPr>
  <c:printSettings>
    <c:headerFooter/>
    <c:pageMargins b="0.75000000000000244" l="0.70000000000000062" r="0.70000000000000062" t="0.75000000000000244" header="0.30000000000000032" footer="0.30000000000000032"/>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4"/>
    </mc:Choice>
    <mc:Fallback>
      <c:style val="4"/>
    </mc:Fallback>
  </mc:AlternateContent>
  <c:chart>
    <c:title>
      <c:tx>
        <c:rich>
          <a:bodyPr/>
          <a:lstStyle/>
          <a:p>
            <a:pPr algn="ctr">
              <a:defRPr sz="1000">
                <a:solidFill>
                  <a:sysClr val="windowText" lastClr="000000"/>
                </a:solidFill>
              </a:defRPr>
            </a:pPr>
            <a:r>
              <a:rPr lang="en-US" sz="1200">
                <a:solidFill>
                  <a:sysClr val="windowText" lastClr="000000"/>
                </a:solidFill>
              </a:rPr>
              <a:t>Debt coverage</a:t>
            </a:r>
            <a:r>
              <a:rPr lang="en-US" sz="1000">
                <a:solidFill>
                  <a:sysClr val="windowText" lastClr="000000"/>
                </a:solidFill>
              </a:rPr>
              <a:t> </a:t>
            </a:r>
          </a:p>
          <a:p>
            <a:pPr algn="ctr">
              <a:defRPr sz="1000">
                <a:solidFill>
                  <a:sysClr val="windowText" lastClr="000000"/>
                </a:solidFill>
              </a:defRPr>
            </a:pPr>
            <a:r>
              <a:rPr lang="en-US" sz="1000">
                <a:solidFill>
                  <a:sysClr val="windowText" lastClr="000000"/>
                </a:solidFill>
              </a:rPr>
              <a:t>(Net</a:t>
            </a:r>
            <a:r>
              <a:rPr lang="en-US" sz="1000" baseline="0">
                <a:solidFill>
                  <a:sysClr val="windowText" lastClr="000000"/>
                </a:solidFill>
              </a:rPr>
              <a:t> debt as of Dec'21 and Dec'22 respectively, all in EUR)</a:t>
            </a:r>
            <a:endParaRPr lang="en-US" sz="1000">
              <a:solidFill>
                <a:sysClr val="windowText" lastClr="000000"/>
              </a:solidFill>
            </a:endParaRPr>
          </a:p>
        </c:rich>
      </c:tx>
      <c:layout>
        <c:manualLayout>
          <c:xMode val="edge"/>
          <c:yMode val="edge"/>
          <c:x val="0.15525867846458682"/>
          <c:y val="2.7233661417322839E-2"/>
        </c:manualLayout>
      </c:layout>
      <c:overlay val="0"/>
    </c:title>
    <c:autoTitleDeleted val="0"/>
    <c:plotArea>
      <c:layout>
        <c:manualLayout>
          <c:layoutTarget val="inner"/>
          <c:xMode val="edge"/>
          <c:yMode val="edge"/>
          <c:x val="0.12459435650128549"/>
          <c:y val="0.1581853505425232"/>
          <c:w val="0.87540564349871774"/>
          <c:h val="0.65299456124685462"/>
        </c:manualLayout>
      </c:layout>
      <c:barChart>
        <c:barDir val="col"/>
        <c:grouping val="clustered"/>
        <c:varyColors val="0"/>
        <c:ser>
          <c:idx val="0"/>
          <c:order val="0"/>
          <c:tx>
            <c:strRef>
              <c:f>'6.2 Financial Strenght - 3D'!$C$40</c:f>
              <c:strCache>
                <c:ptCount val="1"/>
                <c:pt idx="0">
                  <c:v>Net debt / Annualized EBITDA</c:v>
                </c:pt>
              </c:strCache>
            </c:strRef>
          </c:tx>
          <c:spPr>
            <a:solidFill>
              <a:srgbClr val="0070C0"/>
            </a:solidFill>
            <a:ln w="38100">
              <a:solidFill>
                <a:schemeClr val="tx1"/>
              </a:solidFill>
            </a:ln>
          </c:spPr>
          <c:invertIfNegative val="0"/>
          <c:dLbls>
            <c:spPr>
              <a:noFill/>
              <a:ln>
                <a:noFill/>
              </a:ln>
              <a:effectLst/>
            </c:spPr>
            <c:txPr>
              <a:bodyPr/>
              <a:lstStyle/>
              <a:p>
                <a:pPr>
                  <a:defRPr b="1">
                    <a:solidFill>
                      <a:srgbClr val="FFFFCC"/>
                    </a:solidFill>
                  </a:defRPr>
                </a:pPr>
                <a:endParaRPr lang="fr-FR"/>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'6.2 Financial Strenght - 3D'!$D$39:$F$39</c:f>
              <c:strCache>
                <c:ptCount val="3"/>
                <c:pt idx="0">
                  <c:v>FY 21</c:v>
                </c:pt>
                <c:pt idx="1">
                  <c:v>Q3 22</c:v>
                </c:pt>
                <c:pt idx="2">
                  <c:v>FY 22</c:v>
                </c:pt>
              </c:strCache>
            </c:strRef>
          </c:cat>
          <c:val>
            <c:numRef>
              <c:f>'6.2 Financial Strenght - 3D'!$D$40:$F$40</c:f>
              <c:numCache>
                <c:formatCode>0.00</c:formatCode>
                <c:ptCount val="3"/>
                <c:pt idx="0" formatCode="0.0">
                  <c:v>1.2175515094879299</c:v>
                </c:pt>
                <c:pt idx="1">
                  <c:v>2.0799043808806692</c:v>
                </c:pt>
                <c:pt idx="2">
                  <c:v>2.3635498269290527</c:v>
                </c:pt>
              </c:numCache>
            </c:numRef>
          </c:val>
          <c:extLst>
            <c:ext xmlns:c16="http://schemas.microsoft.com/office/drawing/2014/chart" uri="{C3380CC4-5D6E-409C-BE32-E72D297353CC}">
              <c16:uniqueId val="{00000000-AC25-4F9E-A3AF-38A4A2F3C30C}"/>
            </c:ext>
          </c:extLst>
        </c:ser>
        <c:dLbls>
          <c:showLegendKey val="0"/>
          <c:showVal val="0"/>
          <c:showCatName val="0"/>
          <c:showSerName val="0"/>
          <c:showPercent val="0"/>
          <c:showBubbleSize val="0"/>
        </c:dLbls>
        <c:gapWidth val="79"/>
        <c:axId val="176397312"/>
        <c:axId val="176808704"/>
      </c:barChart>
      <c:catAx>
        <c:axId val="176397312"/>
        <c:scaling>
          <c:orientation val="minMax"/>
        </c:scaling>
        <c:delete val="0"/>
        <c:axPos val="b"/>
        <c:numFmt formatCode="General" sourceLinked="1"/>
        <c:majorTickMark val="out"/>
        <c:minorTickMark val="none"/>
        <c:tickLblPos val="nextTo"/>
        <c:txPr>
          <a:bodyPr/>
          <a:lstStyle/>
          <a:p>
            <a:pPr>
              <a:defRPr b="1"/>
            </a:pPr>
            <a:endParaRPr lang="fr-FR"/>
          </a:p>
        </c:txPr>
        <c:crossAx val="176808704"/>
        <c:crosses val="autoZero"/>
        <c:auto val="1"/>
        <c:lblAlgn val="ctr"/>
        <c:lblOffset val="100"/>
        <c:noMultiLvlLbl val="0"/>
      </c:catAx>
      <c:valAx>
        <c:axId val="176808704"/>
        <c:scaling>
          <c:orientation val="minMax"/>
          <c:max val="3.1"/>
          <c:min val="0.70000000000000007"/>
        </c:scaling>
        <c:delete val="0"/>
        <c:axPos val="l"/>
        <c:majorGridlines/>
        <c:numFmt formatCode="0.0" sourceLinked="1"/>
        <c:majorTickMark val="out"/>
        <c:minorTickMark val="none"/>
        <c:tickLblPos val="nextTo"/>
        <c:crossAx val="176397312"/>
        <c:crosses val="autoZero"/>
        <c:crossBetween val="between"/>
        <c:majorUnit val="0.30000000000000004"/>
      </c:valAx>
      <c:spPr>
        <a:noFill/>
      </c:spPr>
    </c:plotArea>
    <c:legend>
      <c:legendPos val="r"/>
      <c:layout>
        <c:manualLayout>
          <c:xMode val="edge"/>
          <c:yMode val="edge"/>
          <c:x val="0.16061430037508284"/>
          <c:y val="0.89499234470690936"/>
          <c:w val="0.72087658592848902"/>
          <c:h val="0.10500765529308836"/>
        </c:manualLayout>
      </c:layout>
      <c:overlay val="0"/>
    </c:legend>
    <c:plotVisOnly val="1"/>
    <c:dispBlanksAs val="gap"/>
    <c:showDLblsOverMax val="0"/>
  </c:chart>
  <c:spPr>
    <a:noFill/>
  </c:spPr>
  <c:printSettings>
    <c:headerFooter/>
    <c:pageMargins b="0.75000000000000189" l="0.70000000000000062" r="0.70000000000000062" t="0.75000000000000189" header="0.30000000000000032" footer="0.30000000000000032"/>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solidFill>
              <a:latin typeface="+mn-lt"/>
              <a:ea typeface="+mn-ea"/>
              <a:cs typeface="+mn-cs"/>
            </a:defRPr>
          </a:pPr>
          <a:endParaRPr lang="fr-FR"/>
        </a:p>
      </c:txPr>
    </c:title>
    <c:autoTitleDeleted val="0"/>
    <c:plotArea>
      <c:layout>
        <c:manualLayout>
          <c:layoutTarget val="inner"/>
          <c:xMode val="edge"/>
          <c:yMode val="edge"/>
          <c:x val="0.17204113925818812"/>
          <c:y val="0.19842663307903907"/>
          <c:w val="0.79602659848490775"/>
          <c:h val="0.67746567869614849"/>
        </c:manualLayout>
      </c:layout>
      <c:barChart>
        <c:barDir val="col"/>
        <c:grouping val="clustered"/>
        <c:varyColors val="0"/>
        <c:ser>
          <c:idx val="0"/>
          <c:order val="0"/>
          <c:tx>
            <c:strRef>
              <c:f>'6.2 Financial Strenght - 3D'!$N$40</c:f>
              <c:strCache>
                <c:ptCount val="1"/>
                <c:pt idx="0">
                  <c:v>Net debt KEUR</c:v>
                </c:pt>
              </c:strCache>
            </c:strRef>
          </c:tx>
          <c:spPr>
            <a:solidFill>
              <a:srgbClr val="1970EF"/>
            </a:solidFill>
            <a:ln w="41275">
              <a:solidFill>
                <a:schemeClr val="tx1"/>
              </a:solidFill>
            </a:ln>
            <a:effectLst/>
          </c:spPr>
          <c:invertIfNegative val="0"/>
          <c:cat>
            <c:strRef>
              <c:f>'6.2 Financial Strenght - 3D'!$O$39:$Q$39</c:f>
              <c:strCache>
                <c:ptCount val="3"/>
                <c:pt idx="0">
                  <c:v>FY 21</c:v>
                </c:pt>
                <c:pt idx="1">
                  <c:v>Q3 22</c:v>
                </c:pt>
                <c:pt idx="2">
                  <c:v>FY 22</c:v>
                </c:pt>
              </c:strCache>
            </c:strRef>
          </c:cat>
          <c:val>
            <c:numRef>
              <c:f>'6.2 Financial Strenght - 3D'!$O$40:$Q$40</c:f>
              <c:numCache>
                <c:formatCode>#,##0.00</c:formatCode>
                <c:ptCount val="3"/>
                <c:pt idx="0">
                  <c:v>3102.9757010298595</c:v>
                </c:pt>
                <c:pt idx="1">
                  <c:v>5301.9387632402349</c:v>
                </c:pt>
                <c:pt idx="2">
                  <c:v>5369.0241025718469</c:v>
                </c:pt>
              </c:numCache>
            </c:numRef>
          </c:val>
          <c:extLst>
            <c:ext xmlns:c16="http://schemas.microsoft.com/office/drawing/2014/chart" uri="{C3380CC4-5D6E-409C-BE32-E72D297353CC}">
              <c16:uniqueId val="{00000000-BCE2-4610-8F0B-E7B94D0D08F9}"/>
            </c:ext>
          </c:extLst>
        </c:ser>
        <c:dLbls>
          <c:showLegendKey val="0"/>
          <c:showVal val="0"/>
          <c:showCatName val="0"/>
          <c:showSerName val="0"/>
          <c:showPercent val="0"/>
          <c:showBubbleSize val="0"/>
        </c:dLbls>
        <c:gapWidth val="219"/>
        <c:overlap val="-27"/>
        <c:axId val="845500959"/>
        <c:axId val="845490559"/>
      </c:barChart>
      <c:catAx>
        <c:axId val="84550095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solidFill>
                <a:latin typeface="+mn-lt"/>
                <a:ea typeface="+mn-ea"/>
                <a:cs typeface="+mn-cs"/>
              </a:defRPr>
            </a:pPr>
            <a:endParaRPr lang="fr-FR"/>
          </a:p>
        </c:txPr>
        <c:crossAx val="845490559"/>
        <c:crosses val="autoZero"/>
        <c:auto val="1"/>
        <c:lblAlgn val="ctr"/>
        <c:lblOffset val="100"/>
        <c:noMultiLvlLbl val="0"/>
      </c:catAx>
      <c:valAx>
        <c:axId val="845490559"/>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solidFill>
                <a:latin typeface="+mn-lt"/>
                <a:ea typeface="+mn-ea"/>
                <a:cs typeface="+mn-cs"/>
              </a:defRPr>
            </a:pPr>
            <a:endParaRPr lang="fr-FR"/>
          </a:p>
        </c:txPr>
        <c:crossAx val="845500959"/>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2"/>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solidFill>
                  <a:sysClr val="windowText" lastClr="000000"/>
                </a:solidFill>
              </a:defRPr>
            </a:pPr>
            <a:r>
              <a:rPr lang="en-GB" sz="1200">
                <a:solidFill>
                  <a:sysClr val="windowText" lastClr="000000"/>
                </a:solidFill>
              </a:rPr>
              <a:t>Net Working Capital Bridge, EUR</a:t>
            </a:r>
          </a:p>
        </c:rich>
      </c:tx>
      <c:overlay val="1"/>
    </c:title>
    <c:autoTitleDeleted val="0"/>
    <c:plotArea>
      <c:layout>
        <c:manualLayout>
          <c:layoutTarget val="inner"/>
          <c:xMode val="edge"/>
          <c:yMode val="edge"/>
          <c:x val="5.2369758904849711E-2"/>
          <c:y val="0.21560274055833398"/>
          <c:w val="0.91707464428806584"/>
          <c:h val="0.64801892086048163"/>
        </c:manualLayout>
      </c:layout>
      <c:barChart>
        <c:barDir val="col"/>
        <c:grouping val="stacked"/>
        <c:varyColors val="0"/>
        <c:ser>
          <c:idx val="0"/>
          <c:order val="0"/>
          <c:tx>
            <c:strRef>
              <c:f>'5.1 Corp. liquidity - WC Br DEC'!$D$46</c:f>
              <c:strCache>
                <c:ptCount val="1"/>
                <c:pt idx="0">
                  <c:v>Ends</c:v>
                </c:pt>
              </c:strCache>
            </c:strRef>
          </c:tx>
          <c:spPr>
            <a:solidFill>
              <a:srgbClr val="002060"/>
            </a:solidFill>
            <a:ln>
              <a:solidFill>
                <a:srgbClr val="FF0000"/>
              </a:solidFill>
            </a:ln>
          </c:spPr>
          <c:invertIfNegative val="0"/>
          <c:dPt>
            <c:idx val="0"/>
            <c:invertIfNegative val="0"/>
            <c:bubble3D val="0"/>
            <c:spPr>
              <a:solidFill>
                <a:srgbClr val="002060"/>
              </a:solidFill>
              <a:ln w="38100">
                <a:solidFill>
                  <a:srgbClr val="FF0000"/>
                </a:solidFill>
              </a:ln>
            </c:spPr>
            <c:extLst>
              <c:ext xmlns:c16="http://schemas.microsoft.com/office/drawing/2014/chart" uri="{C3380CC4-5D6E-409C-BE32-E72D297353CC}">
                <c16:uniqueId val="{00000001-2669-4A10-9D81-DD7D9F48D2CD}"/>
              </c:ext>
            </c:extLst>
          </c:dPt>
          <c:dPt>
            <c:idx val="4"/>
            <c:invertIfNegative val="0"/>
            <c:bubble3D val="0"/>
            <c:spPr>
              <a:solidFill>
                <a:srgbClr val="002060"/>
              </a:solidFill>
              <a:ln w="34925">
                <a:solidFill>
                  <a:srgbClr val="FF0000"/>
                </a:solidFill>
              </a:ln>
            </c:spPr>
            <c:extLst>
              <c:ext xmlns:c16="http://schemas.microsoft.com/office/drawing/2014/chart" uri="{C3380CC4-5D6E-409C-BE32-E72D297353CC}">
                <c16:uniqueId val="{00000003-2669-4A10-9D81-DD7D9F48D2CD}"/>
              </c:ext>
            </c:extLst>
          </c:dPt>
          <c:dLbls>
            <c:dLbl>
              <c:idx val="0"/>
              <c:spPr/>
              <c:txPr>
                <a:bodyPr/>
                <a:lstStyle/>
                <a:p>
                  <a:pPr>
                    <a:defRPr sz="1200" b="1">
                      <a:solidFill>
                        <a:schemeClr val="bg1"/>
                      </a:solidFill>
                    </a:defRPr>
                  </a:pPr>
                  <a:endParaRPr lang="fr-FR"/>
                </a:p>
              </c:txPr>
              <c:showLegendKey val="0"/>
              <c:showVal val="1"/>
              <c:showCatName val="0"/>
              <c:showSerName val="0"/>
              <c:showPercent val="0"/>
              <c:showBubbleSize val="0"/>
              <c:extLst>
                <c:ext xmlns:c16="http://schemas.microsoft.com/office/drawing/2014/chart" uri="{C3380CC4-5D6E-409C-BE32-E72D297353CC}">
                  <c16:uniqueId val="{00000001-2669-4A10-9D81-DD7D9F48D2CD}"/>
                </c:ext>
              </c:extLst>
            </c:dLbl>
            <c:spPr>
              <a:noFill/>
              <a:ln>
                <a:noFill/>
              </a:ln>
              <a:effectLst/>
            </c:spPr>
            <c:txPr>
              <a:bodyPr/>
              <a:lstStyle/>
              <a:p>
                <a:pPr>
                  <a:defRPr sz="1200" b="1">
                    <a:solidFill>
                      <a:schemeClr val="bg1"/>
                    </a:solidFill>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'5.1 Corp. liquidity - WC Br DEC'!$B$47:$B$51</c:f>
              <c:strCache>
                <c:ptCount val="5"/>
                <c:pt idx="0">
                  <c:v>WC, Dec'21</c:v>
                </c:pt>
                <c:pt idx="1">
                  <c:v>AR</c:v>
                </c:pt>
                <c:pt idx="2">
                  <c:v>Inventory</c:v>
                </c:pt>
                <c:pt idx="3">
                  <c:v>AP</c:v>
                </c:pt>
                <c:pt idx="4">
                  <c:v>WC, Dec'22</c:v>
                </c:pt>
              </c:strCache>
            </c:strRef>
          </c:cat>
          <c:val>
            <c:numRef>
              <c:f>'5.1 Corp. liquidity - WC Br DEC'!$D$47:$D$51</c:f>
              <c:numCache>
                <c:formatCode>_-* #\ ##0_-;\-* #\ ##0_-;_-* "-"??_-;_-@_-</c:formatCode>
                <c:ptCount val="5"/>
                <c:pt idx="0">
                  <c:v>7096.9104670986999</c:v>
                </c:pt>
                <c:pt idx="4">
                  <c:v>9169.6249861539145</c:v>
                </c:pt>
              </c:numCache>
            </c:numRef>
          </c:val>
          <c:extLst>
            <c:ext xmlns:c16="http://schemas.microsoft.com/office/drawing/2014/chart" uri="{C3380CC4-5D6E-409C-BE32-E72D297353CC}">
              <c16:uniqueId val="{00000004-2669-4A10-9D81-DD7D9F48D2CD}"/>
            </c:ext>
          </c:extLst>
        </c:ser>
        <c:ser>
          <c:idx val="1"/>
          <c:order val="1"/>
          <c:tx>
            <c:strRef>
              <c:f>'5.1 Corp. liquidity - WC Br DEC'!$E$46</c:f>
              <c:strCache>
                <c:ptCount val="1"/>
                <c:pt idx="0">
                  <c:v>Blank</c:v>
                </c:pt>
              </c:strCache>
            </c:strRef>
          </c:tx>
          <c:spPr>
            <a:noFill/>
          </c:spPr>
          <c:invertIfNegative val="0"/>
          <c:cat>
            <c:strRef>
              <c:f>'5.1 Corp. liquidity - WC Br DEC'!$B$47:$B$51</c:f>
              <c:strCache>
                <c:ptCount val="5"/>
                <c:pt idx="0">
                  <c:v>WC, Dec'21</c:v>
                </c:pt>
                <c:pt idx="1">
                  <c:v>AR</c:v>
                </c:pt>
                <c:pt idx="2">
                  <c:v>Inventory</c:v>
                </c:pt>
                <c:pt idx="3">
                  <c:v>AP</c:v>
                </c:pt>
                <c:pt idx="4">
                  <c:v>WC, Dec'22</c:v>
                </c:pt>
              </c:strCache>
            </c:strRef>
          </c:cat>
          <c:val>
            <c:numRef>
              <c:f>'5.1 Corp. liquidity - WC Br DEC'!$E$47:$E$51</c:f>
              <c:numCache>
                <c:formatCode>_-* #\ ##0_-;\-* #\ ##0_-;_-* "-"??_-;_-@_-</c:formatCode>
                <c:ptCount val="5"/>
                <c:pt idx="1">
                  <c:v>7096.9104670986999</c:v>
                </c:pt>
                <c:pt idx="2">
                  <c:v>7965.7632389838273</c:v>
                </c:pt>
                <c:pt idx="3">
                  <c:v>9169.6249861539145</c:v>
                </c:pt>
              </c:numCache>
            </c:numRef>
          </c:val>
          <c:extLst>
            <c:ext xmlns:c16="http://schemas.microsoft.com/office/drawing/2014/chart" uri="{C3380CC4-5D6E-409C-BE32-E72D297353CC}">
              <c16:uniqueId val="{00000005-2669-4A10-9D81-DD7D9F48D2CD}"/>
            </c:ext>
          </c:extLst>
        </c:ser>
        <c:ser>
          <c:idx val="2"/>
          <c:order val="2"/>
          <c:tx>
            <c:strRef>
              <c:f>'5.1 Corp. liquidity - WC Br DEC'!$F$46</c:f>
              <c:strCache>
                <c:ptCount val="1"/>
                <c:pt idx="0">
                  <c:v>Up</c:v>
                </c:pt>
              </c:strCache>
            </c:strRef>
          </c:tx>
          <c:invertIfNegative val="0"/>
          <c:dPt>
            <c:idx val="1"/>
            <c:invertIfNegative val="0"/>
            <c:bubble3D val="0"/>
            <c:spPr>
              <a:solidFill>
                <a:schemeClr val="tx1">
                  <a:lumMod val="75000"/>
                  <a:lumOff val="25000"/>
                </a:schemeClr>
              </a:solidFill>
            </c:spPr>
            <c:extLst>
              <c:ext xmlns:c16="http://schemas.microsoft.com/office/drawing/2014/chart" uri="{C3380CC4-5D6E-409C-BE32-E72D297353CC}">
                <c16:uniqueId val="{00000007-2669-4A10-9D81-DD7D9F48D2CD}"/>
              </c:ext>
            </c:extLst>
          </c:dPt>
          <c:dPt>
            <c:idx val="2"/>
            <c:invertIfNegative val="0"/>
            <c:bubble3D val="0"/>
            <c:spPr>
              <a:solidFill>
                <a:schemeClr val="tx1">
                  <a:lumMod val="50000"/>
                  <a:lumOff val="50000"/>
                </a:schemeClr>
              </a:solidFill>
            </c:spPr>
            <c:extLst>
              <c:ext xmlns:c16="http://schemas.microsoft.com/office/drawing/2014/chart" uri="{C3380CC4-5D6E-409C-BE32-E72D297353CC}">
                <c16:uniqueId val="{00000009-2669-4A10-9D81-DD7D9F48D2CD}"/>
              </c:ext>
            </c:extLst>
          </c:dPt>
          <c:dPt>
            <c:idx val="4"/>
            <c:invertIfNegative val="0"/>
            <c:bubble3D val="0"/>
            <c:spPr>
              <a:solidFill>
                <a:srgbClr val="008000"/>
              </a:solidFill>
            </c:spPr>
            <c:extLst>
              <c:ext xmlns:c16="http://schemas.microsoft.com/office/drawing/2014/chart" uri="{C3380CC4-5D6E-409C-BE32-E72D297353CC}">
                <c16:uniqueId val="{0000000B-2669-4A10-9D81-DD7D9F48D2CD}"/>
              </c:ext>
            </c:extLst>
          </c:dPt>
          <c:dLbls>
            <c:dLbl>
              <c:idx val="1"/>
              <c:spPr/>
              <c:txPr>
                <a:bodyPr/>
                <a:lstStyle/>
                <a:p>
                  <a:pPr>
                    <a:defRPr b="1">
                      <a:solidFill>
                        <a:schemeClr val="bg1"/>
                      </a:solidFill>
                    </a:defRPr>
                  </a:pPr>
                  <a:endParaRPr lang="fr-FR"/>
                </a:p>
              </c:txPr>
              <c:showLegendKey val="0"/>
              <c:showVal val="1"/>
              <c:showCatName val="0"/>
              <c:showSerName val="0"/>
              <c:showPercent val="0"/>
              <c:showBubbleSize val="0"/>
              <c:extLst>
                <c:ext xmlns:c16="http://schemas.microsoft.com/office/drawing/2014/chart" uri="{C3380CC4-5D6E-409C-BE32-E72D297353CC}">
                  <c16:uniqueId val="{00000007-2669-4A10-9D81-DD7D9F48D2CD}"/>
                </c:ext>
              </c:extLst>
            </c:dLbl>
            <c:dLbl>
              <c:idx val="2"/>
              <c:spPr/>
              <c:txPr>
                <a:bodyPr/>
                <a:lstStyle/>
                <a:p>
                  <a:pPr>
                    <a:defRPr b="1">
                      <a:solidFill>
                        <a:schemeClr val="bg1"/>
                      </a:solidFill>
                    </a:defRPr>
                  </a:pPr>
                  <a:endParaRPr lang="fr-FR"/>
                </a:p>
              </c:txPr>
              <c:showLegendKey val="0"/>
              <c:showVal val="1"/>
              <c:showCatName val="0"/>
              <c:showSerName val="0"/>
              <c:showPercent val="0"/>
              <c:showBubbleSize val="0"/>
              <c:extLst>
                <c:ext xmlns:c16="http://schemas.microsoft.com/office/drawing/2014/chart" uri="{C3380CC4-5D6E-409C-BE32-E72D297353CC}">
                  <c16:uniqueId val="{00000009-2669-4A10-9D81-DD7D9F48D2CD}"/>
                </c:ext>
              </c:extLst>
            </c:dLbl>
            <c:dLbl>
              <c:idx val="3"/>
              <c:spPr>
                <a:noFill/>
                <a:ln>
                  <a:noFill/>
                </a:ln>
                <a:effectLst/>
              </c:spPr>
              <c:txPr>
                <a:bodyPr wrap="square" lIns="38100" tIns="19050" rIns="38100" bIns="19050" anchor="ctr">
                  <a:noAutofit/>
                </a:bodyPr>
                <a:lstStyle/>
                <a:p>
                  <a:pPr>
                    <a:defRPr b="1">
                      <a:solidFill>
                        <a:schemeClr val="bg1"/>
                      </a:solidFill>
                    </a:defRPr>
                  </a:pPr>
                  <a:endParaRPr lang="fr-FR"/>
                </a:p>
              </c:txPr>
              <c:showLegendKey val="0"/>
              <c:showVal val="1"/>
              <c:showCatName val="0"/>
              <c:showSerName val="0"/>
              <c:showPercent val="0"/>
              <c:showBubbleSize val="0"/>
              <c:extLst>
                <c:ext xmlns:c15="http://schemas.microsoft.com/office/drawing/2012/chart" uri="{CE6537A1-D6FC-4f65-9D91-7224C49458BB}">
                  <c15:layout>
                    <c:manualLayout>
                      <c:w val="2.6032140307893931E-2"/>
                      <c:h val="8.0922166724706479E-2"/>
                    </c:manualLayout>
                  </c15:layout>
                </c:ext>
                <c:ext xmlns:c16="http://schemas.microsoft.com/office/drawing/2014/chart" uri="{C3380CC4-5D6E-409C-BE32-E72D297353CC}">
                  <c16:uniqueId val="{0000000A-9052-44D5-AB29-77A5A3504E06}"/>
                </c:ext>
              </c:extLst>
            </c:dLbl>
            <c:dLbl>
              <c:idx val="4"/>
              <c:spPr/>
              <c:txPr>
                <a:bodyPr/>
                <a:lstStyle/>
                <a:p>
                  <a:pPr>
                    <a:defRPr b="1">
                      <a:solidFill>
                        <a:schemeClr val="bg1"/>
                      </a:solidFill>
                    </a:defRPr>
                  </a:pPr>
                  <a:endParaRPr lang="fr-FR"/>
                </a:p>
              </c:txPr>
              <c:showLegendKey val="0"/>
              <c:showVal val="1"/>
              <c:showCatName val="0"/>
              <c:showSerName val="0"/>
              <c:showPercent val="0"/>
              <c:showBubbleSize val="0"/>
              <c:extLst>
                <c:ext xmlns:c16="http://schemas.microsoft.com/office/drawing/2014/chart" uri="{C3380CC4-5D6E-409C-BE32-E72D297353CC}">
                  <c16:uniqueId val="{0000000B-2669-4A10-9D81-DD7D9F48D2CD}"/>
                </c:ext>
              </c:extLst>
            </c:dLbl>
            <c:dLbl>
              <c:idx val="5"/>
              <c:delete val="1"/>
              <c:extLst>
                <c:ext xmlns:c15="http://schemas.microsoft.com/office/drawing/2012/chart" uri="{CE6537A1-D6FC-4f65-9D91-7224C49458BB}"/>
                <c:ext xmlns:c16="http://schemas.microsoft.com/office/drawing/2014/chart" uri="{C3380CC4-5D6E-409C-BE32-E72D297353CC}">
                  <c16:uniqueId val="{0000000C-2669-4A10-9D81-DD7D9F48D2CD}"/>
                </c:ext>
              </c:extLst>
            </c:dLbl>
            <c:spPr>
              <a:noFill/>
              <a:ln>
                <a:noFill/>
              </a:ln>
              <a:effectLst/>
            </c:spPr>
            <c:txPr>
              <a:bodyPr/>
              <a:lstStyle/>
              <a:p>
                <a:pPr>
                  <a:defRPr b="1">
                    <a:solidFill>
                      <a:schemeClr val="bg1"/>
                    </a:solidFill>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'5.1 Corp. liquidity - WC Br DEC'!$B$47:$B$51</c:f>
              <c:strCache>
                <c:ptCount val="5"/>
                <c:pt idx="0">
                  <c:v>WC, Dec'21</c:v>
                </c:pt>
                <c:pt idx="1">
                  <c:v>AR</c:v>
                </c:pt>
                <c:pt idx="2">
                  <c:v>Inventory</c:v>
                </c:pt>
                <c:pt idx="3">
                  <c:v>AP</c:v>
                </c:pt>
                <c:pt idx="4">
                  <c:v>WC, Dec'22</c:v>
                </c:pt>
              </c:strCache>
            </c:strRef>
          </c:cat>
          <c:val>
            <c:numRef>
              <c:f>'5.1 Corp. liquidity - WC Br DEC'!$F$47:$F$51</c:f>
              <c:numCache>
                <c:formatCode>_-* #\ ##0_-;\-* #\ ##0_-;_-* "-"??_-;_-@_-</c:formatCode>
                <c:ptCount val="5"/>
                <c:pt idx="1">
                  <c:v>868.85277188512737</c:v>
                </c:pt>
                <c:pt idx="2">
                  <c:v>1576.1558207096305</c:v>
                </c:pt>
                <c:pt idx="3">
                  <c:v>0</c:v>
                </c:pt>
              </c:numCache>
            </c:numRef>
          </c:val>
          <c:extLst>
            <c:ext xmlns:c16="http://schemas.microsoft.com/office/drawing/2014/chart" uri="{C3380CC4-5D6E-409C-BE32-E72D297353CC}">
              <c16:uniqueId val="{0000000D-2669-4A10-9D81-DD7D9F48D2CD}"/>
            </c:ext>
          </c:extLst>
        </c:ser>
        <c:ser>
          <c:idx val="3"/>
          <c:order val="3"/>
          <c:tx>
            <c:strRef>
              <c:f>'5.1 Corp. liquidity - WC Br DEC'!$G$46</c:f>
              <c:strCache>
                <c:ptCount val="1"/>
                <c:pt idx="0">
                  <c:v>Down</c:v>
                </c:pt>
              </c:strCache>
            </c:strRef>
          </c:tx>
          <c:spPr>
            <a:solidFill>
              <a:schemeClr val="bg1">
                <a:lumMod val="75000"/>
              </a:schemeClr>
            </a:solidFill>
          </c:spPr>
          <c:invertIfNegative val="0"/>
          <c:dLbls>
            <c:dLbl>
              <c:idx val="2"/>
              <c:delete val="1"/>
              <c:extLst>
                <c:ext xmlns:c15="http://schemas.microsoft.com/office/drawing/2012/chart" uri="{CE6537A1-D6FC-4f65-9D91-7224C49458BB}"/>
                <c:ext xmlns:c16="http://schemas.microsoft.com/office/drawing/2014/chart" uri="{C3380CC4-5D6E-409C-BE32-E72D297353CC}">
                  <c16:uniqueId val="{0000000B-9052-44D5-AB29-77A5A3504E06}"/>
                </c:ext>
              </c:extLst>
            </c:dLbl>
            <c:dLbl>
              <c:idx val="3"/>
              <c:layout>
                <c:manualLayout>
                  <c:x val="-9.3646997548271682E-17"/>
                  <c:y val="-4.5361248598025893E-2"/>
                </c:manualLayout>
              </c:layout>
              <c:tx>
                <c:rich>
                  <a:bodyPr wrap="square" lIns="38100" tIns="19050" rIns="38100" bIns="19050" anchor="ctr">
                    <a:noAutofit/>
                  </a:bodyPr>
                  <a:lstStyle/>
                  <a:p>
                    <a:pPr>
                      <a:defRPr>
                        <a:solidFill>
                          <a:sysClr val="windowText" lastClr="000000"/>
                        </a:solidFill>
                      </a:defRPr>
                    </a:pPr>
                    <a:fld id="{F157673E-69DB-4B8E-AEF5-F63688B06649}" type="VALUE">
                      <a:rPr lang="en-US" b="1">
                        <a:solidFill>
                          <a:sysClr val="windowText" lastClr="000000"/>
                        </a:solidFill>
                      </a:rPr>
                      <a:pPr>
                        <a:defRPr>
                          <a:solidFill>
                            <a:sysClr val="windowText" lastClr="000000"/>
                          </a:solidFill>
                        </a:defRPr>
                      </a:pPr>
                      <a:t>[VALEUR]</a:t>
                    </a:fld>
                    <a:endParaRPr lang="fr-FR"/>
                  </a:p>
                </c:rich>
              </c:tx>
              <c:spPr>
                <a:noFill/>
                <a:ln>
                  <a:noFill/>
                </a:ln>
                <a:effectLst/>
              </c:spPr>
              <c:showLegendKey val="0"/>
              <c:showVal val="1"/>
              <c:showCatName val="0"/>
              <c:showSerName val="0"/>
              <c:showPercent val="0"/>
              <c:showBubbleSize val="0"/>
              <c:extLst>
                <c:ext xmlns:c15="http://schemas.microsoft.com/office/drawing/2012/chart" uri="{CE6537A1-D6FC-4f65-9D91-7224C49458BB}">
                  <c15:layout>
                    <c:manualLayout>
                      <c:w val="3.0067669954672856E-2"/>
                      <c:h val="0.26279684834862505"/>
                    </c:manualLayout>
                  </c15:layout>
                  <c15:dlblFieldTable/>
                  <c15:showDataLabelsRange val="0"/>
                </c:ext>
                <c:ext xmlns:c16="http://schemas.microsoft.com/office/drawing/2014/chart" uri="{C3380CC4-5D6E-409C-BE32-E72D297353CC}">
                  <c16:uniqueId val="{0000000C-9052-44D5-AB29-77A5A3504E06}"/>
                </c:ext>
              </c:extLst>
            </c:dLbl>
            <c:spPr>
              <a:noFill/>
              <a:ln>
                <a:noFill/>
              </a:ln>
              <a:effectLst/>
            </c:spPr>
            <c:txPr>
              <a:bodyPr wrap="square" lIns="38100" tIns="19050" rIns="38100" bIns="19050" anchor="ctr">
                <a:spAutoFit/>
              </a:bodyPr>
              <a:lstStyle/>
              <a:p>
                <a:pPr>
                  <a:defRPr>
                    <a:solidFill>
                      <a:sysClr val="windowText" lastClr="000000"/>
                    </a:solidFill>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'5.1 Corp. liquidity - WC Br DEC'!$B$47:$B$51</c:f>
              <c:strCache>
                <c:ptCount val="5"/>
                <c:pt idx="0">
                  <c:v>WC, Dec'21</c:v>
                </c:pt>
                <c:pt idx="1">
                  <c:v>AR</c:v>
                </c:pt>
                <c:pt idx="2">
                  <c:v>Inventory</c:v>
                </c:pt>
                <c:pt idx="3">
                  <c:v>AP</c:v>
                </c:pt>
                <c:pt idx="4">
                  <c:v>WC, Dec'22</c:v>
                </c:pt>
              </c:strCache>
            </c:strRef>
          </c:cat>
          <c:val>
            <c:numRef>
              <c:f>'5.1 Corp. liquidity - WC Br DEC'!$G$47:$G$51</c:f>
              <c:numCache>
                <c:formatCode>_-* #\ ##0_-;\-* #\ ##0_-;_-* "-"??_-;_-@_-</c:formatCode>
                <c:ptCount val="5"/>
                <c:pt idx="1">
                  <c:v>0</c:v>
                </c:pt>
                <c:pt idx="2">
                  <c:v>0</c:v>
                </c:pt>
                <c:pt idx="3">
                  <c:v>372.29407353954252</c:v>
                </c:pt>
              </c:numCache>
            </c:numRef>
          </c:val>
          <c:extLst>
            <c:ext xmlns:c16="http://schemas.microsoft.com/office/drawing/2014/chart" uri="{C3380CC4-5D6E-409C-BE32-E72D297353CC}">
              <c16:uniqueId val="{0000000E-2669-4A10-9D81-DD7D9F48D2CD}"/>
            </c:ext>
          </c:extLst>
        </c:ser>
        <c:dLbls>
          <c:showLegendKey val="0"/>
          <c:showVal val="0"/>
          <c:showCatName val="0"/>
          <c:showSerName val="0"/>
          <c:showPercent val="0"/>
          <c:showBubbleSize val="0"/>
        </c:dLbls>
        <c:gapWidth val="7"/>
        <c:overlap val="100"/>
        <c:axId val="51597696"/>
        <c:axId val="51599232"/>
      </c:barChart>
      <c:catAx>
        <c:axId val="51597696"/>
        <c:scaling>
          <c:orientation val="minMax"/>
        </c:scaling>
        <c:delete val="0"/>
        <c:axPos val="b"/>
        <c:numFmt formatCode="General" sourceLinked="1"/>
        <c:majorTickMark val="out"/>
        <c:minorTickMark val="none"/>
        <c:tickLblPos val="nextTo"/>
        <c:txPr>
          <a:bodyPr/>
          <a:lstStyle/>
          <a:p>
            <a:pPr>
              <a:defRPr b="1"/>
            </a:pPr>
            <a:endParaRPr lang="fr-FR"/>
          </a:p>
        </c:txPr>
        <c:crossAx val="51599232"/>
        <c:crosses val="autoZero"/>
        <c:auto val="1"/>
        <c:lblAlgn val="ctr"/>
        <c:lblOffset val="100"/>
        <c:noMultiLvlLbl val="0"/>
      </c:catAx>
      <c:valAx>
        <c:axId val="51599232"/>
        <c:scaling>
          <c:orientation val="minMax"/>
          <c:max val="11000"/>
          <c:min val="5000"/>
        </c:scaling>
        <c:delete val="0"/>
        <c:axPos val="l"/>
        <c:majorGridlines/>
        <c:numFmt formatCode="_-* #\ ##0_-;\-* #\ ##0_-;_-* &quot;-&quot;??_-;_-@_-" sourceLinked="1"/>
        <c:majorTickMark val="out"/>
        <c:minorTickMark val="none"/>
        <c:tickLblPos val="nextTo"/>
        <c:crossAx val="51597696"/>
        <c:crosses val="autoZero"/>
        <c:crossBetween val="between"/>
        <c:majorUnit val="1000"/>
      </c:valAx>
      <c:spPr>
        <a:noFill/>
      </c:spPr>
    </c:plotArea>
    <c:plotVisOnly val="1"/>
    <c:dispBlanksAs val="gap"/>
    <c:showDLblsOverMax val="0"/>
  </c:chart>
  <c:spPr>
    <a:noFill/>
  </c:spPr>
  <c:printSettings>
    <c:headerFooter/>
    <c:pageMargins b="0.75000000000000211" l="0.70000000000000062" r="0.70000000000000062" t="0.75000000000000211" header="0.30000000000000032" footer="0.30000000000000032"/>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7"/>
    </mc:Choice>
    <mc:Fallback>
      <c:style val="7"/>
    </mc:Fallback>
  </mc:AlternateContent>
  <c:chart>
    <c:title>
      <c:tx>
        <c:rich>
          <a:bodyPr/>
          <a:lstStyle/>
          <a:p>
            <a:pPr>
              <a:defRPr sz="1200"/>
            </a:pPr>
            <a:r>
              <a:rPr lang="en-US"/>
              <a:t>AR, Dec'22</a:t>
            </a:r>
          </a:p>
        </c:rich>
      </c:tx>
      <c:layout>
        <c:manualLayout>
          <c:xMode val="edge"/>
          <c:yMode val="edge"/>
          <c:x val="1.3888888888888897E-2"/>
          <c:y val="2.7777777777777801E-2"/>
        </c:manualLayout>
      </c:layout>
      <c:overlay val="0"/>
    </c:title>
    <c:autoTitleDeleted val="0"/>
    <c:plotArea>
      <c:layout>
        <c:manualLayout>
          <c:layoutTarget val="inner"/>
          <c:xMode val="edge"/>
          <c:yMode val="edge"/>
          <c:x val="0.14794794400699926"/>
          <c:y val="0.1050925925925926"/>
          <c:w val="0.52027777777777751"/>
          <c:h val="0.86712962962962992"/>
        </c:manualLayout>
      </c:layout>
      <c:pieChart>
        <c:varyColors val="1"/>
        <c:ser>
          <c:idx val="0"/>
          <c:order val="0"/>
          <c:tx>
            <c:strRef>
              <c:f>'5.1 Corp. liquidity - WC Br DEC'!$K$45</c:f>
              <c:strCache>
                <c:ptCount val="1"/>
                <c:pt idx="0">
                  <c:v>AR</c:v>
                </c:pt>
              </c:strCache>
            </c:strRef>
          </c:tx>
          <c:dPt>
            <c:idx val="1"/>
            <c:bubble3D val="0"/>
            <c:spPr>
              <a:solidFill>
                <a:schemeClr val="accent4">
                  <a:lumMod val="60000"/>
                  <a:lumOff val="40000"/>
                </a:schemeClr>
              </a:solidFill>
            </c:spPr>
            <c:extLst>
              <c:ext xmlns:c16="http://schemas.microsoft.com/office/drawing/2014/chart" uri="{C3380CC4-5D6E-409C-BE32-E72D297353CC}">
                <c16:uniqueId val="{00000001-A03E-4FE5-B6DB-A2931ABDFF3C}"/>
              </c:ext>
            </c:extLst>
          </c:dPt>
          <c:dLbls>
            <c:dLbl>
              <c:idx val="0"/>
              <c:spPr/>
              <c:txPr>
                <a:bodyPr/>
                <a:lstStyle/>
                <a:p>
                  <a:pPr>
                    <a:defRPr sz="1200" b="1">
                      <a:solidFill>
                        <a:schemeClr val="bg1"/>
                      </a:solidFill>
                    </a:defRPr>
                  </a:pPr>
                  <a:endParaRPr lang="fr-FR"/>
                </a:p>
              </c:txPr>
              <c:showLegendKey val="0"/>
              <c:showVal val="1"/>
              <c:showCatName val="0"/>
              <c:showSerName val="0"/>
              <c:showPercent val="0"/>
              <c:showBubbleSize val="0"/>
              <c:extLst>
                <c:ext xmlns:c16="http://schemas.microsoft.com/office/drawing/2014/chart" uri="{C3380CC4-5D6E-409C-BE32-E72D297353CC}">
                  <c16:uniqueId val="{00000002-A03E-4FE5-B6DB-A2931ABDFF3C}"/>
                </c:ext>
              </c:extLst>
            </c:dLbl>
            <c:dLbl>
              <c:idx val="1"/>
              <c:spPr/>
              <c:txPr>
                <a:bodyPr/>
                <a:lstStyle/>
                <a:p>
                  <a:pPr>
                    <a:defRPr sz="1200" b="1">
                      <a:solidFill>
                        <a:schemeClr val="bg1"/>
                      </a:solidFill>
                    </a:defRPr>
                  </a:pPr>
                  <a:endParaRPr lang="fr-FR"/>
                </a:p>
              </c:txPr>
              <c:showLegendKey val="0"/>
              <c:showVal val="1"/>
              <c:showCatName val="0"/>
              <c:showSerName val="0"/>
              <c:showPercent val="0"/>
              <c:showBubbleSize val="0"/>
              <c:extLst>
                <c:ext xmlns:c16="http://schemas.microsoft.com/office/drawing/2014/chart" uri="{C3380CC4-5D6E-409C-BE32-E72D297353CC}">
                  <c16:uniqueId val="{00000001-A03E-4FE5-B6DB-A2931ABDFF3C}"/>
                </c:ext>
              </c:extLst>
            </c:dLbl>
            <c:dLbl>
              <c:idx val="2"/>
              <c:delete val="1"/>
              <c:extLst>
                <c:ext xmlns:c15="http://schemas.microsoft.com/office/drawing/2012/chart" uri="{CE6537A1-D6FC-4f65-9D91-7224C49458BB}"/>
                <c:ext xmlns:c16="http://schemas.microsoft.com/office/drawing/2014/chart" uri="{C3380CC4-5D6E-409C-BE32-E72D297353CC}">
                  <c16:uniqueId val="{00000003-A03E-4FE5-B6DB-A2931ABDFF3C}"/>
                </c:ext>
              </c:extLst>
            </c:dLbl>
            <c:dLbl>
              <c:idx val="3"/>
              <c:spPr/>
              <c:txPr>
                <a:bodyPr/>
                <a:lstStyle/>
                <a:p>
                  <a:pPr>
                    <a:defRPr sz="1200" b="1">
                      <a:solidFill>
                        <a:schemeClr val="bg1"/>
                      </a:solidFill>
                    </a:defRPr>
                  </a:pPr>
                  <a:endParaRPr lang="fr-FR"/>
                </a:p>
              </c:txPr>
              <c:showLegendKey val="0"/>
              <c:showVal val="1"/>
              <c:showCatName val="0"/>
              <c:showSerName val="0"/>
              <c:showPercent val="0"/>
              <c:showBubbleSize val="0"/>
              <c:extLst>
                <c:ext xmlns:c16="http://schemas.microsoft.com/office/drawing/2014/chart" uri="{C3380CC4-5D6E-409C-BE32-E72D297353CC}">
                  <c16:uniqueId val="{00000004-A03E-4FE5-B6DB-A2931ABDFF3C}"/>
                </c:ext>
              </c:extLst>
            </c:dLbl>
            <c:spPr>
              <a:noFill/>
              <a:ln>
                <a:noFill/>
              </a:ln>
              <a:effectLst/>
            </c:spPr>
            <c:txPr>
              <a:bodyPr/>
              <a:lstStyle/>
              <a:p>
                <a:pPr>
                  <a:defRPr sz="1200" b="1"/>
                </a:pPr>
                <a:endParaRPr lang="fr-FR"/>
              </a:p>
            </c:txPr>
            <c:showLegendKey val="0"/>
            <c:showVal val="1"/>
            <c:showCatName val="0"/>
            <c:showSerName val="0"/>
            <c:showPercent val="0"/>
            <c:showBubbleSize val="0"/>
            <c:showLeaderLines val="1"/>
            <c:extLst>
              <c:ext xmlns:c15="http://schemas.microsoft.com/office/drawing/2012/chart" uri="{CE6537A1-D6FC-4f65-9D91-7224C49458BB}"/>
            </c:extLst>
          </c:dLbls>
          <c:cat>
            <c:strRef>
              <c:f>'5.1 Corp. liquidity - WC Br DEC'!$J$46:$J$48</c:f>
              <c:strCache>
                <c:ptCount val="3"/>
                <c:pt idx="0">
                  <c:v>SNA</c:v>
                </c:pt>
                <c:pt idx="1">
                  <c:v>SND</c:v>
                </c:pt>
                <c:pt idx="2">
                  <c:v>SNR</c:v>
                </c:pt>
              </c:strCache>
            </c:strRef>
          </c:cat>
          <c:val>
            <c:numRef>
              <c:f>'5.1 Corp. liquidity - WC Br DEC'!$K$46:$K$48</c:f>
              <c:numCache>
                <c:formatCode>_-* #\ ##0_-;\-* #\ ##0_-;_-* "-"??_-;_-@_-</c:formatCode>
                <c:ptCount val="3"/>
                <c:pt idx="0">
                  <c:v>627.67077578394037</c:v>
                </c:pt>
                <c:pt idx="1">
                  <c:v>4879.3843263246945</c:v>
                </c:pt>
                <c:pt idx="2">
                  <c:v>0</c:v>
                </c:pt>
              </c:numCache>
            </c:numRef>
          </c:val>
          <c:extLst>
            <c:ext xmlns:c16="http://schemas.microsoft.com/office/drawing/2014/chart" uri="{C3380CC4-5D6E-409C-BE32-E72D297353CC}">
              <c16:uniqueId val="{00000005-A03E-4FE5-B6DB-A2931ABDFF3C}"/>
            </c:ext>
          </c:extLst>
        </c:ser>
        <c:dLbls>
          <c:showLegendKey val="0"/>
          <c:showVal val="0"/>
          <c:showCatName val="0"/>
          <c:showSerName val="0"/>
          <c:showPercent val="0"/>
          <c:showBubbleSize val="0"/>
          <c:showLeaderLines val="1"/>
        </c:dLbls>
        <c:firstSliceAng val="0"/>
      </c:pieChart>
    </c:plotArea>
    <c:legend>
      <c:legendPos val="r"/>
      <c:layout>
        <c:manualLayout>
          <c:xMode val="edge"/>
          <c:yMode val="edge"/>
          <c:x val="2.172922134733158E-2"/>
          <c:y val="0.22961614173228348"/>
          <c:w val="0.11210452711831009"/>
          <c:h val="0.71080431380411602"/>
        </c:manualLayout>
      </c:layout>
      <c:overlay val="0"/>
      <c:txPr>
        <a:bodyPr/>
        <a:lstStyle/>
        <a:p>
          <a:pPr>
            <a:defRPr b="1"/>
          </a:pPr>
          <a:endParaRPr lang="fr-FR"/>
        </a:p>
      </c:txPr>
    </c:legend>
    <c:plotVisOnly val="1"/>
    <c:dispBlanksAs val="gap"/>
    <c:showDLblsOverMax val="0"/>
  </c:chart>
  <c:spPr>
    <a:noFill/>
    <a:ln>
      <a:noFill/>
    </a:ln>
  </c:spPr>
  <c:printSettings>
    <c:headerFooter/>
    <c:pageMargins b="0.75000000000000022" l="0.70000000000000018" r="0.70000000000000018" t="0.75000000000000022" header="0.3000000000000001" footer="0.3000000000000001"/>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7"/>
    </mc:Choice>
    <mc:Fallback>
      <c:style val="7"/>
    </mc:Fallback>
  </mc:AlternateContent>
  <c:chart>
    <c:title>
      <c:tx>
        <c:rich>
          <a:bodyPr/>
          <a:lstStyle/>
          <a:p>
            <a:pPr>
              <a:defRPr sz="1200"/>
            </a:pPr>
            <a:r>
              <a:rPr lang="en-GB"/>
              <a:t>Inventory,</a:t>
            </a:r>
            <a:r>
              <a:rPr lang="en-GB" baseline="0"/>
              <a:t> Dec'22</a:t>
            </a:r>
            <a:endParaRPr lang="en-GB"/>
          </a:p>
        </c:rich>
      </c:tx>
      <c:layout>
        <c:manualLayout>
          <c:xMode val="edge"/>
          <c:yMode val="edge"/>
          <c:x val="1.3888888888888904E-2"/>
          <c:y val="2.7777777777777821E-2"/>
        </c:manualLayout>
      </c:layout>
      <c:overlay val="0"/>
    </c:title>
    <c:autoTitleDeleted val="0"/>
    <c:plotArea>
      <c:layout>
        <c:manualLayout>
          <c:layoutTarget val="inner"/>
          <c:xMode val="edge"/>
          <c:yMode val="edge"/>
          <c:x val="0.1479479440069994"/>
          <c:y val="0.1050925925925926"/>
          <c:w val="0.52027777777777751"/>
          <c:h val="0.86712962962963014"/>
        </c:manualLayout>
      </c:layout>
      <c:pieChart>
        <c:varyColors val="1"/>
        <c:ser>
          <c:idx val="0"/>
          <c:order val="0"/>
          <c:tx>
            <c:strRef>
              <c:f>'5.1 Corp. liquidity - WC Br DEC'!$L$45</c:f>
              <c:strCache>
                <c:ptCount val="1"/>
                <c:pt idx="0">
                  <c:v>INV</c:v>
                </c:pt>
              </c:strCache>
            </c:strRef>
          </c:tx>
          <c:dPt>
            <c:idx val="1"/>
            <c:bubble3D val="0"/>
            <c:spPr>
              <a:solidFill>
                <a:schemeClr val="accent4">
                  <a:lumMod val="60000"/>
                  <a:lumOff val="40000"/>
                </a:schemeClr>
              </a:solidFill>
            </c:spPr>
            <c:extLst>
              <c:ext xmlns:c16="http://schemas.microsoft.com/office/drawing/2014/chart" uri="{C3380CC4-5D6E-409C-BE32-E72D297353CC}">
                <c16:uniqueId val="{00000001-7946-42AA-BEFC-EBFDC557EA4F}"/>
              </c:ext>
            </c:extLst>
          </c:dPt>
          <c:dLbls>
            <c:dLbl>
              <c:idx val="0"/>
              <c:spPr/>
              <c:txPr>
                <a:bodyPr/>
                <a:lstStyle/>
                <a:p>
                  <a:pPr>
                    <a:defRPr sz="1200" b="1">
                      <a:solidFill>
                        <a:schemeClr val="bg1"/>
                      </a:solidFill>
                    </a:defRPr>
                  </a:pPr>
                  <a:endParaRPr lang="fr-FR"/>
                </a:p>
              </c:txPr>
              <c:showLegendKey val="0"/>
              <c:showVal val="1"/>
              <c:showCatName val="0"/>
              <c:showSerName val="0"/>
              <c:showPercent val="0"/>
              <c:showBubbleSize val="0"/>
              <c:extLst>
                <c:ext xmlns:c16="http://schemas.microsoft.com/office/drawing/2014/chart" uri="{C3380CC4-5D6E-409C-BE32-E72D297353CC}">
                  <c16:uniqueId val="{00000002-7946-42AA-BEFC-EBFDC557EA4F}"/>
                </c:ext>
              </c:extLst>
            </c:dLbl>
            <c:dLbl>
              <c:idx val="1"/>
              <c:spPr/>
              <c:txPr>
                <a:bodyPr/>
                <a:lstStyle/>
                <a:p>
                  <a:pPr>
                    <a:defRPr sz="1200" b="1">
                      <a:solidFill>
                        <a:schemeClr val="bg1"/>
                      </a:solidFill>
                    </a:defRPr>
                  </a:pPr>
                  <a:endParaRPr lang="fr-FR"/>
                </a:p>
              </c:txPr>
              <c:showLegendKey val="0"/>
              <c:showVal val="1"/>
              <c:showCatName val="0"/>
              <c:showSerName val="0"/>
              <c:showPercent val="0"/>
              <c:showBubbleSize val="0"/>
              <c:extLst>
                <c:ext xmlns:c16="http://schemas.microsoft.com/office/drawing/2014/chart" uri="{C3380CC4-5D6E-409C-BE32-E72D297353CC}">
                  <c16:uniqueId val="{00000001-7946-42AA-BEFC-EBFDC557EA4F}"/>
                </c:ext>
              </c:extLst>
            </c:dLbl>
            <c:dLbl>
              <c:idx val="2"/>
              <c:delete val="1"/>
              <c:extLst>
                <c:ext xmlns:c15="http://schemas.microsoft.com/office/drawing/2012/chart" uri="{CE6537A1-D6FC-4f65-9D91-7224C49458BB}"/>
                <c:ext xmlns:c16="http://schemas.microsoft.com/office/drawing/2014/chart" uri="{C3380CC4-5D6E-409C-BE32-E72D297353CC}">
                  <c16:uniqueId val="{00000003-7946-42AA-BEFC-EBFDC557EA4F}"/>
                </c:ext>
              </c:extLst>
            </c:dLbl>
            <c:dLbl>
              <c:idx val="3"/>
              <c:spPr/>
              <c:txPr>
                <a:bodyPr/>
                <a:lstStyle/>
                <a:p>
                  <a:pPr>
                    <a:defRPr sz="1200" b="1">
                      <a:solidFill>
                        <a:schemeClr val="bg1"/>
                      </a:solidFill>
                    </a:defRPr>
                  </a:pPr>
                  <a:endParaRPr lang="fr-FR"/>
                </a:p>
              </c:txPr>
              <c:showLegendKey val="0"/>
              <c:showVal val="1"/>
              <c:showCatName val="0"/>
              <c:showSerName val="0"/>
              <c:showPercent val="0"/>
              <c:showBubbleSize val="0"/>
              <c:extLst>
                <c:ext xmlns:c16="http://schemas.microsoft.com/office/drawing/2014/chart" uri="{C3380CC4-5D6E-409C-BE32-E72D297353CC}">
                  <c16:uniqueId val="{00000004-7946-42AA-BEFC-EBFDC557EA4F}"/>
                </c:ext>
              </c:extLst>
            </c:dLbl>
            <c:spPr>
              <a:noFill/>
              <a:ln>
                <a:noFill/>
              </a:ln>
              <a:effectLst/>
            </c:spPr>
            <c:txPr>
              <a:bodyPr/>
              <a:lstStyle/>
              <a:p>
                <a:pPr>
                  <a:defRPr sz="1200" b="1"/>
                </a:pPr>
                <a:endParaRPr lang="fr-FR"/>
              </a:p>
            </c:txPr>
            <c:showLegendKey val="0"/>
            <c:showVal val="1"/>
            <c:showCatName val="0"/>
            <c:showSerName val="0"/>
            <c:showPercent val="0"/>
            <c:showBubbleSize val="0"/>
            <c:showLeaderLines val="1"/>
            <c:extLst>
              <c:ext xmlns:c15="http://schemas.microsoft.com/office/drawing/2012/chart" uri="{CE6537A1-D6FC-4f65-9D91-7224C49458BB}"/>
            </c:extLst>
          </c:dLbls>
          <c:cat>
            <c:strRef>
              <c:f>'5.1 Corp. liquidity - WC Br DEC'!$J$46:$J$48</c:f>
              <c:strCache>
                <c:ptCount val="3"/>
                <c:pt idx="0">
                  <c:v>SNA</c:v>
                </c:pt>
                <c:pt idx="1">
                  <c:v>SND</c:v>
                </c:pt>
                <c:pt idx="2">
                  <c:v>SNR</c:v>
                </c:pt>
              </c:strCache>
            </c:strRef>
          </c:cat>
          <c:val>
            <c:numRef>
              <c:f>'5.1 Corp. liquidity - WC Br DEC'!$L$46:$L$48</c:f>
              <c:numCache>
                <c:formatCode>_-* #\ ##0_-;\-* #\ ##0_-;_-* "-"??_-;_-@_-</c:formatCode>
                <c:ptCount val="3"/>
                <c:pt idx="0">
                  <c:v>5077.970071294787</c:v>
                </c:pt>
                <c:pt idx="1">
                  <c:v>746.7147194026544</c:v>
                </c:pt>
                <c:pt idx="2">
                  <c:v>0</c:v>
                </c:pt>
              </c:numCache>
            </c:numRef>
          </c:val>
          <c:extLst>
            <c:ext xmlns:c16="http://schemas.microsoft.com/office/drawing/2014/chart" uri="{C3380CC4-5D6E-409C-BE32-E72D297353CC}">
              <c16:uniqueId val="{00000005-7946-42AA-BEFC-EBFDC557EA4F}"/>
            </c:ext>
          </c:extLst>
        </c:ser>
        <c:dLbls>
          <c:showLegendKey val="0"/>
          <c:showVal val="0"/>
          <c:showCatName val="0"/>
          <c:showSerName val="0"/>
          <c:showPercent val="0"/>
          <c:showBubbleSize val="0"/>
          <c:showLeaderLines val="1"/>
        </c:dLbls>
        <c:firstSliceAng val="0"/>
      </c:pieChart>
    </c:plotArea>
    <c:legend>
      <c:legendPos val="r"/>
      <c:layout>
        <c:manualLayout>
          <c:xMode val="edge"/>
          <c:yMode val="edge"/>
          <c:x val="2.1729221347331577E-2"/>
          <c:y val="0.22961614173228354"/>
          <c:w val="0.10327077865266848"/>
          <c:h val="0.68942336753360378"/>
        </c:manualLayout>
      </c:layout>
      <c:overlay val="0"/>
      <c:txPr>
        <a:bodyPr/>
        <a:lstStyle/>
        <a:p>
          <a:pPr rtl="0">
            <a:defRPr b="1"/>
          </a:pPr>
          <a:endParaRPr lang="fr-FR"/>
        </a:p>
      </c:txPr>
    </c:legend>
    <c:plotVisOnly val="1"/>
    <c:dispBlanksAs val="gap"/>
    <c:showDLblsOverMax val="0"/>
  </c:chart>
  <c:spPr>
    <a:noFill/>
    <a:ln>
      <a:noFill/>
    </a:ln>
  </c:spPr>
  <c:printSettings>
    <c:headerFooter/>
    <c:pageMargins b="0.75000000000000044" l="0.7000000000000004" r="0.7000000000000004" t="0.75000000000000044" header="0.30000000000000021" footer="0.30000000000000021"/>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7"/>
    </mc:Choice>
    <mc:Fallback>
      <c:style val="7"/>
    </mc:Fallback>
  </mc:AlternateContent>
  <c:chart>
    <c:title>
      <c:tx>
        <c:rich>
          <a:bodyPr/>
          <a:lstStyle/>
          <a:p>
            <a:pPr>
              <a:defRPr sz="1200"/>
            </a:pPr>
            <a:r>
              <a:rPr lang="en-GB"/>
              <a:t>AP, Dec'22</a:t>
            </a:r>
          </a:p>
        </c:rich>
      </c:tx>
      <c:layout>
        <c:manualLayout>
          <c:xMode val="edge"/>
          <c:yMode val="edge"/>
          <c:x val="1.3888888888888911E-2"/>
          <c:y val="2.7777777777777842E-2"/>
        </c:manualLayout>
      </c:layout>
      <c:overlay val="0"/>
    </c:title>
    <c:autoTitleDeleted val="0"/>
    <c:plotArea>
      <c:layout>
        <c:manualLayout>
          <c:layoutTarget val="inner"/>
          <c:xMode val="edge"/>
          <c:yMode val="edge"/>
          <c:x val="0.14794794400699951"/>
          <c:y val="0.1050925925925926"/>
          <c:w val="0.52027777777777751"/>
          <c:h val="0.86712962962963036"/>
        </c:manualLayout>
      </c:layout>
      <c:pieChart>
        <c:varyColors val="1"/>
        <c:ser>
          <c:idx val="0"/>
          <c:order val="0"/>
          <c:tx>
            <c:strRef>
              <c:f>'5.1 Corp. liquidity - WC Br DEC'!$M$45</c:f>
              <c:strCache>
                <c:ptCount val="1"/>
                <c:pt idx="0">
                  <c:v>AP</c:v>
                </c:pt>
              </c:strCache>
            </c:strRef>
          </c:tx>
          <c:dPt>
            <c:idx val="1"/>
            <c:bubble3D val="0"/>
            <c:spPr>
              <a:solidFill>
                <a:schemeClr val="accent4">
                  <a:lumMod val="60000"/>
                  <a:lumOff val="40000"/>
                </a:schemeClr>
              </a:solidFill>
            </c:spPr>
            <c:extLst>
              <c:ext xmlns:c16="http://schemas.microsoft.com/office/drawing/2014/chart" uri="{C3380CC4-5D6E-409C-BE32-E72D297353CC}">
                <c16:uniqueId val="{00000001-BE32-481C-9C4F-20296A473AAA}"/>
              </c:ext>
            </c:extLst>
          </c:dPt>
          <c:dLbls>
            <c:dLbl>
              <c:idx val="0"/>
              <c:spPr/>
              <c:txPr>
                <a:bodyPr/>
                <a:lstStyle/>
                <a:p>
                  <a:pPr>
                    <a:defRPr sz="1200" b="1">
                      <a:solidFill>
                        <a:schemeClr val="bg1"/>
                      </a:solidFill>
                    </a:defRPr>
                  </a:pPr>
                  <a:endParaRPr lang="fr-FR"/>
                </a:p>
              </c:txPr>
              <c:showLegendKey val="0"/>
              <c:showVal val="1"/>
              <c:showCatName val="0"/>
              <c:showSerName val="0"/>
              <c:showPercent val="0"/>
              <c:showBubbleSize val="0"/>
              <c:extLst>
                <c:ext xmlns:c16="http://schemas.microsoft.com/office/drawing/2014/chart" uri="{C3380CC4-5D6E-409C-BE32-E72D297353CC}">
                  <c16:uniqueId val="{00000002-BE32-481C-9C4F-20296A473AAA}"/>
                </c:ext>
              </c:extLst>
            </c:dLbl>
            <c:dLbl>
              <c:idx val="1"/>
              <c:layout>
                <c:manualLayout>
                  <c:x val="3.3909687896121789E-3"/>
                  <c:y val="3.389646186699781E-2"/>
                </c:manualLayout>
              </c:layout>
              <c:tx>
                <c:rich>
                  <a:bodyPr/>
                  <a:lstStyle/>
                  <a:p>
                    <a:pPr>
                      <a:defRPr sz="1200" b="1">
                        <a:solidFill>
                          <a:schemeClr val="bg1"/>
                        </a:solidFill>
                      </a:defRPr>
                    </a:pPr>
                    <a:fld id="{9CAC9DB1-EEAE-4AEF-AB8F-6935B1B72C67}" type="VALUE">
                      <a:rPr lang="en-US">
                        <a:solidFill>
                          <a:sysClr val="windowText" lastClr="000000"/>
                        </a:solidFill>
                      </a:rPr>
                      <a:pPr>
                        <a:defRPr sz="1200" b="1">
                          <a:solidFill>
                            <a:schemeClr val="bg1"/>
                          </a:solidFill>
                        </a:defRPr>
                      </a:pPr>
                      <a:t>[VALEUR]</a:t>
                    </a:fld>
                    <a:endParaRPr lang="fr-FR"/>
                  </a:p>
                </c:rich>
              </c:tx>
              <c:spPr/>
              <c:showLegendKey val="0"/>
              <c:showVal val="1"/>
              <c:showCatName val="0"/>
              <c:showSerName val="0"/>
              <c:showPercent val="0"/>
              <c:showBubbleSize val="0"/>
              <c:extLst>
                <c:ext xmlns:c15="http://schemas.microsoft.com/office/drawing/2012/chart" uri="{CE6537A1-D6FC-4f65-9D91-7224C49458BB}">
                  <c15:dlblFieldTable/>
                  <c15:showDataLabelsRange val="0"/>
                </c:ext>
                <c:ext xmlns:c16="http://schemas.microsoft.com/office/drawing/2014/chart" uri="{C3380CC4-5D6E-409C-BE32-E72D297353CC}">
                  <c16:uniqueId val="{00000001-BE32-481C-9C4F-20296A473AAA}"/>
                </c:ext>
              </c:extLst>
            </c:dLbl>
            <c:dLbl>
              <c:idx val="2"/>
              <c:delete val="1"/>
              <c:extLst>
                <c:ext xmlns:c15="http://schemas.microsoft.com/office/drawing/2012/chart" uri="{CE6537A1-D6FC-4f65-9D91-7224C49458BB}"/>
                <c:ext xmlns:c16="http://schemas.microsoft.com/office/drawing/2014/chart" uri="{C3380CC4-5D6E-409C-BE32-E72D297353CC}">
                  <c16:uniqueId val="{00000003-BE32-481C-9C4F-20296A473AAA}"/>
                </c:ext>
              </c:extLst>
            </c:dLbl>
            <c:dLbl>
              <c:idx val="3"/>
              <c:spPr/>
              <c:txPr>
                <a:bodyPr/>
                <a:lstStyle/>
                <a:p>
                  <a:pPr>
                    <a:defRPr sz="1200" b="1">
                      <a:solidFill>
                        <a:schemeClr val="bg1"/>
                      </a:solidFill>
                    </a:defRPr>
                  </a:pPr>
                  <a:endParaRPr lang="fr-FR"/>
                </a:p>
              </c:txPr>
              <c:showLegendKey val="0"/>
              <c:showVal val="1"/>
              <c:showCatName val="0"/>
              <c:showSerName val="0"/>
              <c:showPercent val="0"/>
              <c:showBubbleSize val="0"/>
              <c:extLst>
                <c:ext xmlns:c16="http://schemas.microsoft.com/office/drawing/2014/chart" uri="{C3380CC4-5D6E-409C-BE32-E72D297353CC}">
                  <c16:uniqueId val="{00000004-BE32-481C-9C4F-20296A473AAA}"/>
                </c:ext>
              </c:extLst>
            </c:dLbl>
            <c:spPr>
              <a:noFill/>
              <a:ln>
                <a:noFill/>
              </a:ln>
              <a:effectLst/>
            </c:spPr>
            <c:txPr>
              <a:bodyPr/>
              <a:lstStyle/>
              <a:p>
                <a:pPr>
                  <a:defRPr sz="1200" b="1"/>
                </a:pPr>
                <a:endParaRPr lang="fr-FR"/>
              </a:p>
            </c:txPr>
            <c:showLegendKey val="0"/>
            <c:showVal val="1"/>
            <c:showCatName val="0"/>
            <c:showSerName val="0"/>
            <c:showPercent val="0"/>
            <c:showBubbleSize val="0"/>
            <c:showLeaderLines val="1"/>
            <c:extLst>
              <c:ext xmlns:c15="http://schemas.microsoft.com/office/drawing/2012/chart" uri="{CE6537A1-D6FC-4f65-9D91-7224C49458BB}"/>
            </c:extLst>
          </c:dLbls>
          <c:cat>
            <c:strRef>
              <c:f>'5.1 Corp. liquidity - WC Br DEC'!$J$46:$J$48</c:f>
              <c:strCache>
                <c:ptCount val="3"/>
                <c:pt idx="0">
                  <c:v>SNA</c:v>
                </c:pt>
                <c:pt idx="1">
                  <c:v>SND</c:v>
                </c:pt>
                <c:pt idx="2">
                  <c:v>SNR</c:v>
                </c:pt>
              </c:strCache>
            </c:strRef>
          </c:cat>
          <c:val>
            <c:numRef>
              <c:f>'5.1 Corp. liquidity - WC Br DEC'!$M$46:$M$48</c:f>
              <c:numCache>
                <c:formatCode>_-* #\ ##0_-;\-* #\ ##0_-;_-* "-"??_-;_-@_-</c:formatCode>
                <c:ptCount val="3"/>
                <c:pt idx="0">
                  <c:v>-2119.8011857289571</c:v>
                </c:pt>
                <c:pt idx="1">
                  <c:v>-42.313720923204436</c:v>
                </c:pt>
                <c:pt idx="2">
                  <c:v>0</c:v>
                </c:pt>
              </c:numCache>
            </c:numRef>
          </c:val>
          <c:extLst>
            <c:ext xmlns:c16="http://schemas.microsoft.com/office/drawing/2014/chart" uri="{C3380CC4-5D6E-409C-BE32-E72D297353CC}">
              <c16:uniqueId val="{00000005-BE32-481C-9C4F-20296A473AAA}"/>
            </c:ext>
          </c:extLst>
        </c:ser>
        <c:dLbls>
          <c:showLegendKey val="0"/>
          <c:showVal val="0"/>
          <c:showCatName val="0"/>
          <c:showSerName val="0"/>
          <c:showPercent val="0"/>
          <c:showBubbleSize val="0"/>
          <c:showLeaderLines val="1"/>
        </c:dLbls>
        <c:firstSliceAng val="0"/>
      </c:pieChart>
    </c:plotArea>
    <c:legend>
      <c:legendPos val="r"/>
      <c:layout>
        <c:manualLayout>
          <c:xMode val="edge"/>
          <c:yMode val="edge"/>
          <c:x val="2.1729221347331577E-2"/>
          <c:y val="0.22961614173228359"/>
          <c:w val="0.10327077865266851"/>
          <c:h val="0.68942336753360378"/>
        </c:manualLayout>
      </c:layout>
      <c:overlay val="0"/>
      <c:txPr>
        <a:bodyPr/>
        <a:lstStyle/>
        <a:p>
          <a:pPr rtl="0">
            <a:defRPr b="1"/>
          </a:pPr>
          <a:endParaRPr lang="fr-FR"/>
        </a:p>
      </c:txPr>
    </c:legend>
    <c:plotVisOnly val="1"/>
    <c:dispBlanksAs val="gap"/>
    <c:showDLblsOverMax val="0"/>
  </c:chart>
  <c:spPr>
    <a:noFill/>
    <a:ln>
      <a:noFill/>
    </a:ln>
  </c:spPr>
  <c:printSettings>
    <c:headerFooter/>
    <c:pageMargins b="0.75000000000000078" l="0.70000000000000062" r="0.70000000000000062" t="0.75000000000000078" header="0.30000000000000032" footer="0.30000000000000032"/>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12"/>
    </mc:Choice>
    <mc:Fallback>
      <c:style val="12"/>
    </mc:Fallback>
  </mc:AlternateContent>
  <c:chart>
    <c:title>
      <c:tx>
        <c:rich>
          <a:bodyPr/>
          <a:lstStyle/>
          <a:p>
            <a:pPr>
              <a:defRPr sz="1100"/>
            </a:pPr>
            <a:r>
              <a:rPr lang="en-US" sz="1100"/>
              <a:t>Stratification by  Key Accounts </a:t>
            </a:r>
          </a:p>
        </c:rich>
      </c:tx>
      <c:overlay val="0"/>
    </c:title>
    <c:autoTitleDeleted val="0"/>
    <c:plotArea>
      <c:layout>
        <c:manualLayout>
          <c:layoutTarget val="inner"/>
          <c:xMode val="edge"/>
          <c:yMode val="edge"/>
          <c:x val="0.10786620530565189"/>
          <c:y val="0.12835361976323933"/>
          <c:w val="0.86766040923085364"/>
          <c:h val="0.75405556253071826"/>
        </c:manualLayout>
      </c:layout>
      <c:barChart>
        <c:barDir val="bar"/>
        <c:grouping val="percentStacked"/>
        <c:varyColors val="0"/>
        <c:ser>
          <c:idx val="3"/>
          <c:order val="0"/>
          <c:tx>
            <c:strRef>
              <c:f>'4.2 Export market stratif '!$B$44</c:f>
              <c:strCache>
                <c:ptCount val="1"/>
                <c:pt idx="0">
                  <c:v>BATCAR Sp.J</c:v>
                </c:pt>
              </c:strCache>
            </c:strRef>
          </c:tx>
          <c:invertIfNegative val="0"/>
          <c:dLbls>
            <c:spPr>
              <a:noFill/>
              <a:ln>
                <a:noFill/>
              </a:ln>
              <a:effectLst/>
            </c:spPr>
            <c:txPr>
              <a:bodyPr/>
              <a:lstStyle/>
              <a:p>
                <a:pPr>
                  <a:defRPr sz="1000" b="1"/>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'4.2 Export market stratif '!$C$43:$E$43</c:f>
              <c:strCache>
                <c:ptCount val="3"/>
                <c:pt idx="0">
                  <c:v>Volume (Pcs)</c:v>
                </c:pt>
                <c:pt idx="1">
                  <c:v>kg (Le)</c:v>
                </c:pt>
                <c:pt idx="2">
                  <c:v>Revenue
(EUR '000)</c:v>
                </c:pt>
              </c:strCache>
            </c:strRef>
          </c:cat>
          <c:val>
            <c:numRef>
              <c:f>'4.2 Export market stratif '!$C$44:$E$44</c:f>
              <c:numCache>
                <c:formatCode>#,##0</c:formatCode>
                <c:ptCount val="3"/>
                <c:pt idx="0">
                  <c:v>12132</c:v>
                </c:pt>
                <c:pt idx="1">
                  <c:v>98258.548429216855</c:v>
                </c:pt>
                <c:pt idx="2">
                  <c:v>320.47929140707066</c:v>
                </c:pt>
              </c:numCache>
            </c:numRef>
          </c:val>
          <c:extLst>
            <c:ext xmlns:c16="http://schemas.microsoft.com/office/drawing/2014/chart" uri="{C3380CC4-5D6E-409C-BE32-E72D297353CC}">
              <c16:uniqueId val="{00000000-A6CD-BD47-B445-72D2B767CBBB}"/>
            </c:ext>
          </c:extLst>
        </c:ser>
        <c:ser>
          <c:idx val="2"/>
          <c:order val="1"/>
          <c:tx>
            <c:strRef>
              <c:f>'4.2 Export market stratif '!$B$45</c:f>
              <c:strCache>
                <c:ptCount val="1"/>
                <c:pt idx="0">
                  <c:v>MONBAT AD</c:v>
                </c:pt>
              </c:strCache>
            </c:strRef>
          </c:tx>
          <c:invertIfNegative val="0"/>
          <c:dLbls>
            <c:spPr>
              <a:noFill/>
              <a:ln>
                <a:noFill/>
              </a:ln>
              <a:effectLst/>
            </c:spPr>
            <c:txPr>
              <a:bodyPr/>
              <a:lstStyle/>
              <a:p>
                <a:pPr>
                  <a:defRPr sz="1000" b="1"/>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'4.2 Export market stratif '!$C$43:$E$43</c:f>
              <c:strCache>
                <c:ptCount val="3"/>
                <c:pt idx="0">
                  <c:v>Volume (Pcs)</c:v>
                </c:pt>
                <c:pt idx="1">
                  <c:v>kg (Le)</c:v>
                </c:pt>
                <c:pt idx="2">
                  <c:v>Revenue
(EUR '000)</c:v>
                </c:pt>
              </c:strCache>
            </c:strRef>
          </c:cat>
          <c:val>
            <c:numRef>
              <c:f>'4.2 Export market stratif '!$C$45:$E$45</c:f>
              <c:numCache>
                <c:formatCode>#,##0</c:formatCode>
                <c:ptCount val="3"/>
                <c:pt idx="0">
                  <c:v>5923</c:v>
                </c:pt>
                <c:pt idx="1">
                  <c:v>65508.735985342391</c:v>
                </c:pt>
                <c:pt idx="2">
                  <c:v>220.46604303712374</c:v>
                </c:pt>
              </c:numCache>
            </c:numRef>
          </c:val>
          <c:extLst>
            <c:ext xmlns:c16="http://schemas.microsoft.com/office/drawing/2014/chart" uri="{C3380CC4-5D6E-409C-BE32-E72D297353CC}">
              <c16:uniqueId val="{00000001-A6CD-BD47-B445-72D2B767CBBB}"/>
            </c:ext>
          </c:extLst>
        </c:ser>
        <c:ser>
          <c:idx val="1"/>
          <c:order val="2"/>
          <c:tx>
            <c:strRef>
              <c:f>'4.2 Export market stratif '!$B$46</c:f>
              <c:strCache>
                <c:ptCount val="1"/>
                <c:pt idx="0">
                  <c:v>ERRAFIK EL DAYEM</c:v>
                </c:pt>
              </c:strCache>
            </c:strRef>
          </c:tx>
          <c:invertIfNegative val="0"/>
          <c:dLbls>
            <c:spPr>
              <a:noFill/>
              <a:ln>
                <a:noFill/>
              </a:ln>
              <a:effectLst/>
            </c:spPr>
            <c:txPr>
              <a:bodyPr wrap="square" lIns="38100" tIns="19050" rIns="38100" bIns="19050" anchor="ctr">
                <a:spAutoFit/>
              </a:bodyPr>
              <a:lstStyle/>
              <a:p>
                <a:pPr>
                  <a:defRPr sz="1000" b="1"/>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'4.2 Export market stratif '!$C$43:$E$43</c:f>
              <c:strCache>
                <c:ptCount val="3"/>
                <c:pt idx="0">
                  <c:v>Volume (Pcs)</c:v>
                </c:pt>
                <c:pt idx="1">
                  <c:v>kg (Le)</c:v>
                </c:pt>
                <c:pt idx="2">
                  <c:v>Revenue
(EUR '000)</c:v>
                </c:pt>
              </c:strCache>
            </c:strRef>
          </c:cat>
          <c:val>
            <c:numRef>
              <c:f>'4.2 Export market stratif '!$C$46:$E$46</c:f>
              <c:numCache>
                <c:formatCode>#,##0</c:formatCode>
                <c:ptCount val="3"/>
                <c:pt idx="0">
                  <c:v>42288</c:v>
                </c:pt>
                <c:pt idx="1">
                  <c:v>293667.36825232458</c:v>
                </c:pt>
                <c:pt idx="2">
                  <c:v>1113.7551824381021</c:v>
                </c:pt>
              </c:numCache>
            </c:numRef>
          </c:val>
          <c:extLst>
            <c:ext xmlns:c16="http://schemas.microsoft.com/office/drawing/2014/chart" uri="{C3380CC4-5D6E-409C-BE32-E72D297353CC}">
              <c16:uniqueId val="{00000002-A6CD-BD47-B445-72D2B767CBBB}"/>
            </c:ext>
          </c:extLst>
        </c:ser>
        <c:ser>
          <c:idx val="0"/>
          <c:order val="3"/>
          <c:tx>
            <c:strRef>
              <c:f>'4.2 Export market stratif '!$B$47</c:f>
              <c:strCache>
                <c:ptCount val="1"/>
                <c:pt idx="0">
                  <c:v>MARIBAT</c:v>
                </c:pt>
              </c:strCache>
            </c:strRef>
          </c:tx>
          <c:invertIfNegative val="0"/>
          <c:dLbls>
            <c:spPr>
              <a:noFill/>
              <a:ln>
                <a:noFill/>
              </a:ln>
              <a:effectLst/>
            </c:spPr>
            <c:txPr>
              <a:bodyPr/>
              <a:lstStyle/>
              <a:p>
                <a:pPr>
                  <a:defRPr sz="1000" b="1"/>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'4.2 Export market stratif '!$C$43:$E$43</c:f>
              <c:strCache>
                <c:ptCount val="3"/>
                <c:pt idx="0">
                  <c:v>Volume (Pcs)</c:v>
                </c:pt>
                <c:pt idx="1">
                  <c:v>kg (Le)</c:v>
                </c:pt>
                <c:pt idx="2">
                  <c:v>Revenue
(EUR '000)</c:v>
                </c:pt>
              </c:strCache>
            </c:strRef>
          </c:cat>
          <c:val>
            <c:numRef>
              <c:f>'4.2 Export market stratif '!$C$47:$E$47</c:f>
              <c:numCache>
                <c:formatCode>#,##0</c:formatCode>
                <c:ptCount val="3"/>
                <c:pt idx="0">
                  <c:v>0</c:v>
                </c:pt>
                <c:pt idx="1">
                  <c:v>48078</c:v>
                </c:pt>
                <c:pt idx="2">
                  <c:v>130.97004614519372</c:v>
                </c:pt>
              </c:numCache>
            </c:numRef>
          </c:val>
          <c:extLst>
            <c:ext xmlns:c16="http://schemas.microsoft.com/office/drawing/2014/chart" uri="{C3380CC4-5D6E-409C-BE32-E72D297353CC}">
              <c16:uniqueId val="{00000003-A6CD-BD47-B445-72D2B767CBBB}"/>
            </c:ext>
          </c:extLst>
        </c:ser>
        <c:ser>
          <c:idx val="4"/>
          <c:order val="4"/>
          <c:tx>
            <c:strRef>
              <c:f>'4.2 Export market stratif '!$B$48</c:f>
              <c:strCache>
                <c:ptCount val="1"/>
                <c:pt idx="0">
                  <c:v>BATTERIEDIENST UWE HEMPE</c:v>
                </c:pt>
              </c:strCache>
            </c:strRef>
          </c:tx>
          <c:invertIfNegative val="0"/>
          <c:dLbls>
            <c:spPr>
              <a:noFill/>
              <a:ln>
                <a:noFill/>
              </a:ln>
              <a:effectLst/>
            </c:spPr>
            <c:txPr>
              <a:bodyPr/>
              <a:lstStyle/>
              <a:p>
                <a:pPr>
                  <a:defRPr sz="1000" b="1"/>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'4.2 Export market stratif '!$C$43:$E$43</c:f>
              <c:strCache>
                <c:ptCount val="3"/>
                <c:pt idx="0">
                  <c:v>Volume (Pcs)</c:v>
                </c:pt>
                <c:pt idx="1">
                  <c:v>kg (Le)</c:v>
                </c:pt>
                <c:pt idx="2">
                  <c:v>Revenue
(EUR '000)</c:v>
                </c:pt>
              </c:strCache>
            </c:strRef>
          </c:cat>
          <c:val>
            <c:numRef>
              <c:f>'4.2 Export market stratif '!$C$48:$E$48</c:f>
              <c:numCache>
                <c:formatCode>#,##0</c:formatCode>
                <c:ptCount val="3"/>
                <c:pt idx="0">
                  <c:v>0</c:v>
                </c:pt>
                <c:pt idx="1">
                  <c:v>31760</c:v>
                </c:pt>
                <c:pt idx="2">
                  <c:v>138.01187915838361</c:v>
                </c:pt>
              </c:numCache>
            </c:numRef>
          </c:val>
          <c:extLst>
            <c:ext xmlns:c16="http://schemas.microsoft.com/office/drawing/2014/chart" uri="{C3380CC4-5D6E-409C-BE32-E72D297353CC}">
              <c16:uniqueId val="{00000004-A6CD-BD47-B445-72D2B767CBBB}"/>
            </c:ext>
          </c:extLst>
        </c:ser>
        <c:ser>
          <c:idx val="5"/>
          <c:order val="5"/>
          <c:tx>
            <c:strRef>
              <c:f>'4.2 Export market stratif '!$B$49</c:f>
              <c:strCache>
                <c:ptCount val="1"/>
              </c:strCache>
            </c:strRef>
          </c:tx>
          <c:invertIfNegative val="0"/>
          <c:cat>
            <c:strRef>
              <c:f>'4.2 Export market stratif '!$C$43:$E$43</c:f>
              <c:strCache>
                <c:ptCount val="3"/>
                <c:pt idx="0">
                  <c:v>Volume (Pcs)</c:v>
                </c:pt>
                <c:pt idx="1">
                  <c:v>kg (Le)</c:v>
                </c:pt>
                <c:pt idx="2">
                  <c:v>Revenue
(EUR '000)</c:v>
                </c:pt>
              </c:strCache>
            </c:strRef>
          </c:cat>
          <c:val>
            <c:numRef>
              <c:f>'4.2 Export market stratif '!$C$49:$E$49</c:f>
              <c:numCache>
                <c:formatCode>#,##0</c:formatCode>
                <c:ptCount val="3"/>
              </c:numCache>
            </c:numRef>
          </c:val>
          <c:extLst>
            <c:ext xmlns:c16="http://schemas.microsoft.com/office/drawing/2014/chart" uri="{C3380CC4-5D6E-409C-BE32-E72D297353CC}">
              <c16:uniqueId val="{00000000-6DEE-4471-96E7-6958F58468BD}"/>
            </c:ext>
          </c:extLst>
        </c:ser>
        <c:ser>
          <c:idx val="6"/>
          <c:order val="6"/>
          <c:tx>
            <c:strRef>
              <c:f>'4.2 Export market stratif '!$B$50</c:f>
              <c:strCache>
                <c:ptCount val="1"/>
              </c:strCache>
            </c:strRef>
          </c:tx>
          <c:invertIfNegative val="0"/>
          <c:cat>
            <c:strRef>
              <c:f>'4.2 Export market stratif '!$C$43:$E$43</c:f>
              <c:strCache>
                <c:ptCount val="3"/>
                <c:pt idx="0">
                  <c:v>Volume (Pcs)</c:v>
                </c:pt>
                <c:pt idx="1">
                  <c:v>kg (Le)</c:v>
                </c:pt>
                <c:pt idx="2">
                  <c:v>Revenue
(EUR '000)</c:v>
                </c:pt>
              </c:strCache>
            </c:strRef>
          </c:cat>
          <c:val>
            <c:numRef>
              <c:f>'4.2 Export market stratif '!$C$50:$E$50</c:f>
              <c:numCache>
                <c:formatCode>#,##0</c:formatCode>
                <c:ptCount val="3"/>
              </c:numCache>
            </c:numRef>
          </c:val>
          <c:extLst>
            <c:ext xmlns:c16="http://schemas.microsoft.com/office/drawing/2014/chart" uri="{C3380CC4-5D6E-409C-BE32-E72D297353CC}">
              <c16:uniqueId val="{00000001-6DEE-4471-96E7-6958F58468BD}"/>
            </c:ext>
          </c:extLst>
        </c:ser>
        <c:ser>
          <c:idx val="7"/>
          <c:order val="7"/>
          <c:tx>
            <c:strRef>
              <c:f>'4.2 Export market stratif '!$B$51</c:f>
              <c:strCache>
                <c:ptCount val="1"/>
              </c:strCache>
            </c:strRef>
          </c:tx>
          <c:invertIfNegative val="0"/>
          <c:cat>
            <c:strRef>
              <c:f>'4.2 Export market stratif '!$C$43:$E$43</c:f>
              <c:strCache>
                <c:ptCount val="3"/>
                <c:pt idx="0">
                  <c:v>Volume (Pcs)</c:v>
                </c:pt>
                <c:pt idx="1">
                  <c:v>kg (Le)</c:v>
                </c:pt>
                <c:pt idx="2">
                  <c:v>Revenue
(EUR '000)</c:v>
                </c:pt>
              </c:strCache>
            </c:strRef>
          </c:cat>
          <c:val>
            <c:numRef>
              <c:f>'4.2 Export market stratif '!$C$51:$E$51</c:f>
              <c:numCache>
                <c:formatCode>#,##0</c:formatCode>
                <c:ptCount val="3"/>
              </c:numCache>
            </c:numRef>
          </c:val>
          <c:extLst>
            <c:ext xmlns:c16="http://schemas.microsoft.com/office/drawing/2014/chart" uri="{C3380CC4-5D6E-409C-BE32-E72D297353CC}">
              <c16:uniqueId val="{00000002-6DEE-4471-96E7-6958F58468BD}"/>
            </c:ext>
          </c:extLst>
        </c:ser>
        <c:ser>
          <c:idx val="8"/>
          <c:order val="8"/>
          <c:tx>
            <c:strRef>
              <c:f>'4.2 Export market stratif '!$B$55</c:f>
              <c:strCache>
                <c:ptCount val="1"/>
              </c:strCache>
            </c:strRef>
          </c:tx>
          <c:invertIfNegative val="0"/>
          <c:cat>
            <c:strRef>
              <c:f>'4.2 Export market stratif '!$C$43:$E$43</c:f>
              <c:strCache>
                <c:ptCount val="3"/>
                <c:pt idx="0">
                  <c:v>Volume (Pcs)</c:v>
                </c:pt>
                <c:pt idx="1">
                  <c:v>kg (Le)</c:v>
                </c:pt>
                <c:pt idx="2">
                  <c:v>Revenue
(EUR '000)</c:v>
                </c:pt>
              </c:strCache>
            </c:strRef>
          </c:cat>
          <c:val>
            <c:numRef>
              <c:f>'4.2 Export market stratif '!$C$55:$E$55</c:f>
              <c:numCache>
                <c:formatCode>#,##0</c:formatCode>
                <c:ptCount val="3"/>
              </c:numCache>
            </c:numRef>
          </c:val>
          <c:extLst>
            <c:ext xmlns:c16="http://schemas.microsoft.com/office/drawing/2014/chart" uri="{C3380CC4-5D6E-409C-BE32-E72D297353CC}">
              <c16:uniqueId val="{00000003-6DEE-4471-96E7-6958F58468BD}"/>
            </c:ext>
          </c:extLst>
        </c:ser>
        <c:dLbls>
          <c:showLegendKey val="0"/>
          <c:showVal val="0"/>
          <c:showCatName val="0"/>
          <c:showSerName val="0"/>
          <c:showPercent val="0"/>
          <c:showBubbleSize val="0"/>
        </c:dLbls>
        <c:gapWidth val="54"/>
        <c:overlap val="100"/>
        <c:serLines/>
        <c:axId val="54394880"/>
        <c:axId val="54396416"/>
      </c:barChart>
      <c:catAx>
        <c:axId val="54394880"/>
        <c:scaling>
          <c:orientation val="minMax"/>
        </c:scaling>
        <c:delete val="0"/>
        <c:axPos val="l"/>
        <c:numFmt formatCode="General" sourceLinked="1"/>
        <c:majorTickMark val="none"/>
        <c:minorTickMark val="none"/>
        <c:tickLblPos val="nextTo"/>
        <c:txPr>
          <a:bodyPr/>
          <a:lstStyle/>
          <a:p>
            <a:pPr>
              <a:defRPr sz="900" b="1"/>
            </a:pPr>
            <a:endParaRPr lang="fr-FR"/>
          </a:p>
        </c:txPr>
        <c:crossAx val="54396416"/>
        <c:crosses val="autoZero"/>
        <c:auto val="1"/>
        <c:lblAlgn val="ctr"/>
        <c:lblOffset val="100"/>
        <c:noMultiLvlLbl val="0"/>
      </c:catAx>
      <c:valAx>
        <c:axId val="54396416"/>
        <c:scaling>
          <c:orientation val="minMax"/>
        </c:scaling>
        <c:delete val="1"/>
        <c:axPos val="b"/>
        <c:majorGridlines/>
        <c:numFmt formatCode="0%" sourceLinked="1"/>
        <c:majorTickMark val="out"/>
        <c:minorTickMark val="none"/>
        <c:tickLblPos val="none"/>
        <c:crossAx val="54394880"/>
        <c:crosses val="autoZero"/>
        <c:crossBetween val="between"/>
      </c:valAx>
      <c:spPr>
        <a:noFill/>
      </c:spPr>
    </c:plotArea>
    <c:legend>
      <c:legendPos val="r"/>
      <c:legendEntry>
        <c:idx val="5"/>
        <c:delete val="1"/>
      </c:legendEntry>
      <c:legendEntry>
        <c:idx val="6"/>
        <c:delete val="1"/>
      </c:legendEntry>
      <c:legendEntry>
        <c:idx val="7"/>
        <c:delete val="1"/>
      </c:legendEntry>
      <c:legendEntry>
        <c:idx val="8"/>
        <c:delete val="1"/>
      </c:legendEntry>
      <c:layout>
        <c:manualLayout>
          <c:xMode val="edge"/>
          <c:yMode val="edge"/>
          <c:x val="8.2780506820181385E-2"/>
          <c:y val="0.84938864125106073"/>
          <c:w val="0.86755983272159554"/>
          <c:h val="0.15061135874893919"/>
        </c:manualLayout>
      </c:layout>
      <c:overlay val="0"/>
      <c:txPr>
        <a:bodyPr/>
        <a:lstStyle/>
        <a:p>
          <a:pPr>
            <a:defRPr sz="700" b="1"/>
          </a:pPr>
          <a:endParaRPr lang="fr-FR"/>
        </a:p>
      </c:txPr>
    </c:legend>
    <c:plotVisOnly val="1"/>
    <c:dispBlanksAs val="gap"/>
    <c:showDLblsOverMax val="0"/>
  </c:chart>
  <c:spPr>
    <a:noFill/>
    <a:ln>
      <a:noFill/>
    </a:ln>
  </c:spPr>
  <c:printSettings>
    <c:headerFooter/>
    <c:pageMargins b="0.75000000000000211" l="0.70000000000000062" r="0.70000000000000062" t="0.75000000000000211" header="0.30000000000000032" footer="0.30000000000000032"/>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12"/>
    </mc:Choice>
    <mc:Fallback>
      <c:style val="12"/>
    </mc:Fallback>
  </mc:AlternateContent>
  <c:chart>
    <c:title>
      <c:tx>
        <c:rich>
          <a:bodyPr/>
          <a:lstStyle/>
          <a:p>
            <a:pPr>
              <a:defRPr sz="1100"/>
            </a:pPr>
            <a:r>
              <a:rPr lang="en-US" sz="1100"/>
              <a:t>Top</a:t>
            </a:r>
            <a:r>
              <a:rPr lang="en-US" sz="1100" baseline="0"/>
              <a:t> 5 /Total</a:t>
            </a:r>
            <a:endParaRPr lang="en-US" sz="1100"/>
          </a:p>
        </c:rich>
      </c:tx>
      <c:layout>
        <c:manualLayout>
          <c:xMode val="edge"/>
          <c:yMode val="edge"/>
          <c:x val="0.19808628085952648"/>
          <c:y val="4.7768065355740442E-2"/>
        </c:manualLayout>
      </c:layout>
      <c:overlay val="0"/>
    </c:title>
    <c:autoTitleDeleted val="0"/>
    <c:plotArea>
      <c:layout>
        <c:manualLayout>
          <c:layoutTarget val="inner"/>
          <c:xMode val="edge"/>
          <c:yMode val="edge"/>
          <c:x val="4.5025510779601614E-3"/>
          <c:y val="0.12835365497701892"/>
          <c:w val="0.95828994444575577"/>
          <c:h val="0.74902916682039133"/>
        </c:manualLayout>
      </c:layout>
      <c:barChart>
        <c:barDir val="bar"/>
        <c:grouping val="percentStacked"/>
        <c:varyColors val="0"/>
        <c:ser>
          <c:idx val="3"/>
          <c:order val="0"/>
          <c:tx>
            <c:strRef>
              <c:f>'4.2 Export market stratif '!$B$62</c:f>
              <c:strCache>
                <c:ptCount val="1"/>
                <c:pt idx="0">
                  <c:v>KA coverage</c:v>
                </c:pt>
              </c:strCache>
            </c:strRef>
          </c:tx>
          <c:spPr>
            <a:solidFill>
              <a:schemeClr val="tx1">
                <a:lumMod val="50000"/>
                <a:lumOff val="50000"/>
              </a:schemeClr>
            </a:solidFill>
          </c:spPr>
          <c:invertIfNegative val="0"/>
          <c:dLbls>
            <c:spPr>
              <a:noFill/>
              <a:ln>
                <a:noFill/>
              </a:ln>
              <a:effectLst/>
            </c:spPr>
            <c:txPr>
              <a:bodyPr/>
              <a:lstStyle/>
              <a:p>
                <a:pPr>
                  <a:defRPr sz="800" b="1">
                    <a:solidFill>
                      <a:schemeClr val="bg1"/>
                    </a:solidFill>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'4.2 Export market stratif '!$C$60:$E$60</c:f>
              <c:numCache>
                <c:formatCode>General</c:formatCode>
                <c:ptCount val="3"/>
              </c:numCache>
            </c:numRef>
          </c:cat>
          <c:val>
            <c:numRef>
              <c:f>'4.2 Export market stratif '!$C$62:$E$62</c:f>
              <c:numCache>
                <c:formatCode>0%</c:formatCode>
                <c:ptCount val="3"/>
                <c:pt idx="0">
                  <c:v>0.92839669523208768</c:v>
                </c:pt>
                <c:pt idx="1">
                  <c:v>0.84306828908028719</c:v>
                </c:pt>
                <c:pt idx="2">
                  <c:v>0.85917295894221435</c:v>
                </c:pt>
              </c:numCache>
            </c:numRef>
          </c:val>
          <c:extLst>
            <c:ext xmlns:c16="http://schemas.microsoft.com/office/drawing/2014/chart" uri="{C3380CC4-5D6E-409C-BE32-E72D297353CC}">
              <c16:uniqueId val="{00000000-C65C-6A4B-944A-178989CE8973}"/>
            </c:ext>
          </c:extLst>
        </c:ser>
        <c:dLbls>
          <c:showLegendKey val="0"/>
          <c:showVal val="0"/>
          <c:showCatName val="0"/>
          <c:showSerName val="0"/>
          <c:showPercent val="0"/>
          <c:showBubbleSize val="0"/>
        </c:dLbls>
        <c:gapWidth val="54"/>
        <c:overlap val="100"/>
        <c:serLines/>
        <c:axId val="54421376"/>
        <c:axId val="54422912"/>
      </c:barChart>
      <c:catAx>
        <c:axId val="54421376"/>
        <c:scaling>
          <c:orientation val="minMax"/>
        </c:scaling>
        <c:delete val="1"/>
        <c:axPos val="l"/>
        <c:numFmt formatCode="General" sourceLinked="1"/>
        <c:majorTickMark val="none"/>
        <c:minorTickMark val="none"/>
        <c:tickLblPos val="none"/>
        <c:crossAx val="54422912"/>
        <c:crosses val="autoZero"/>
        <c:auto val="1"/>
        <c:lblAlgn val="ctr"/>
        <c:lblOffset val="100"/>
        <c:noMultiLvlLbl val="0"/>
      </c:catAx>
      <c:valAx>
        <c:axId val="54422912"/>
        <c:scaling>
          <c:orientation val="minMax"/>
        </c:scaling>
        <c:delete val="1"/>
        <c:axPos val="b"/>
        <c:majorGridlines/>
        <c:numFmt formatCode="0%" sourceLinked="1"/>
        <c:majorTickMark val="out"/>
        <c:minorTickMark val="none"/>
        <c:tickLblPos val="none"/>
        <c:crossAx val="54421376"/>
        <c:crosses val="autoZero"/>
        <c:crossBetween val="between"/>
      </c:valAx>
      <c:spPr>
        <a:noFill/>
      </c:spPr>
    </c:plotArea>
    <c:plotVisOnly val="1"/>
    <c:dispBlanksAs val="gap"/>
    <c:showDLblsOverMax val="0"/>
  </c:chart>
  <c:spPr>
    <a:noFill/>
    <a:ln>
      <a:noFill/>
    </a:ln>
  </c:spPr>
  <c:printSettings>
    <c:headerFooter/>
    <c:pageMargins b="0.75000000000000233" l="0.70000000000000062" r="0.70000000000000062" t="0.75000000000000233" header="0.30000000000000032" footer="0.30000000000000032"/>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1"/>
    </mc:Choice>
    <mc:Fallback>
      <c:style val="1"/>
    </mc:Fallback>
  </mc:AlternateContent>
  <c:chart>
    <c:title>
      <c:tx>
        <c:rich>
          <a:bodyPr/>
          <a:lstStyle/>
          <a:p>
            <a:pPr>
              <a:defRPr sz="1100"/>
            </a:pPr>
            <a:r>
              <a:rPr lang="en-US" sz="1100"/>
              <a:t>Revenue</a:t>
            </a:r>
            <a:r>
              <a:rPr lang="en-US" sz="1100" baseline="0"/>
              <a:t> stratification by Territory (EUR ''000)</a:t>
            </a:r>
            <a:endParaRPr lang="en-US" sz="1100"/>
          </a:p>
        </c:rich>
      </c:tx>
      <c:layout>
        <c:manualLayout>
          <c:xMode val="edge"/>
          <c:yMode val="edge"/>
          <c:x val="0.21404282431676949"/>
          <c:y val="4.1440921916641157E-2"/>
        </c:manualLayout>
      </c:layout>
      <c:overlay val="0"/>
    </c:title>
    <c:autoTitleDeleted val="0"/>
    <c:plotArea>
      <c:layout>
        <c:manualLayout>
          <c:layoutTarget val="inner"/>
          <c:xMode val="edge"/>
          <c:yMode val="edge"/>
          <c:x val="0.21257118656420074"/>
          <c:y val="0.18019038845574495"/>
          <c:w val="0.46922747425831385"/>
          <c:h val="0.7739834745617179"/>
        </c:manualLayout>
      </c:layout>
      <c:pieChart>
        <c:varyColors val="1"/>
        <c:ser>
          <c:idx val="0"/>
          <c:order val="0"/>
          <c:tx>
            <c:strRef>
              <c:f>'4.2 Export market stratif '!$I$43</c:f>
              <c:strCache>
                <c:ptCount val="1"/>
                <c:pt idx="0">
                  <c:v>Revenue
(EUR '000)</c:v>
                </c:pt>
              </c:strCache>
            </c:strRef>
          </c:tx>
          <c:dPt>
            <c:idx val="0"/>
            <c:bubble3D val="0"/>
            <c:spPr>
              <a:solidFill>
                <a:schemeClr val="accent5"/>
              </a:solidFill>
            </c:spPr>
            <c:extLst>
              <c:ext xmlns:c16="http://schemas.microsoft.com/office/drawing/2014/chart" uri="{C3380CC4-5D6E-409C-BE32-E72D297353CC}">
                <c16:uniqueId val="{00000001-BAA0-0743-A69D-DC1D789CE6A8}"/>
              </c:ext>
            </c:extLst>
          </c:dPt>
          <c:dLbls>
            <c:spPr>
              <a:noFill/>
              <a:ln>
                <a:noFill/>
              </a:ln>
              <a:effectLst/>
            </c:spPr>
            <c:txPr>
              <a:bodyPr wrap="square" lIns="38100" tIns="19050" rIns="38100" bIns="19050" anchor="ctr">
                <a:spAutoFit/>
              </a:bodyPr>
              <a:lstStyle/>
              <a:p>
                <a:pPr>
                  <a:defRPr b="1"/>
                </a:pPr>
                <a:endParaRPr lang="fr-FR"/>
              </a:p>
            </c:txPr>
            <c:dLblPos val="outEnd"/>
            <c:showLegendKey val="0"/>
            <c:showVal val="1"/>
            <c:showCatName val="0"/>
            <c:showSerName val="0"/>
            <c:showPercent val="0"/>
            <c:showBubbleSize val="0"/>
            <c:showLeaderLines val="1"/>
            <c:extLst>
              <c:ext xmlns:c15="http://schemas.microsoft.com/office/drawing/2012/chart" uri="{CE6537A1-D6FC-4f65-9D91-7224C49458BB}"/>
            </c:extLst>
          </c:dLbls>
          <c:cat>
            <c:strRef>
              <c:f>'4.2 Export market stratif '!$H$44:$H$48</c:f>
              <c:strCache>
                <c:ptCount val="5"/>
                <c:pt idx="0">
                  <c:v>BATCAR Sp.J</c:v>
                </c:pt>
                <c:pt idx="1">
                  <c:v>MONBAT AD</c:v>
                </c:pt>
                <c:pt idx="2">
                  <c:v>ERRAFIK EL DAYEM</c:v>
                </c:pt>
                <c:pt idx="3">
                  <c:v>MARIBAT</c:v>
                </c:pt>
                <c:pt idx="4">
                  <c:v>BATTERIEDIENST UWE HEMPE</c:v>
                </c:pt>
              </c:strCache>
            </c:strRef>
          </c:cat>
          <c:val>
            <c:numRef>
              <c:f>'4.2 Export market stratif '!$I$44:$I$48</c:f>
              <c:numCache>
                <c:formatCode>_-* #\ ##0_-;\-* #\ ##0_-;_-* "-"??_-;_-@_-</c:formatCode>
                <c:ptCount val="5"/>
                <c:pt idx="0">
                  <c:v>327.45670077504525</c:v>
                </c:pt>
                <c:pt idx="1">
                  <c:v>225.26598448498973</c:v>
                </c:pt>
                <c:pt idx="2">
                  <c:v>1138.0036317199717</c:v>
                </c:pt>
                <c:pt idx="3">
                  <c:v>133.82149911391863</c:v>
                </c:pt>
                <c:pt idx="4">
                  <c:v>141.01664547043941</c:v>
                </c:pt>
              </c:numCache>
            </c:numRef>
          </c:val>
          <c:extLst>
            <c:ext xmlns:c16="http://schemas.microsoft.com/office/drawing/2014/chart" uri="{C3380CC4-5D6E-409C-BE32-E72D297353CC}">
              <c16:uniqueId val="{00000002-BAA0-0743-A69D-DC1D789CE6A8}"/>
            </c:ext>
          </c:extLst>
        </c:ser>
        <c:dLbls>
          <c:showLegendKey val="0"/>
          <c:showVal val="0"/>
          <c:showCatName val="0"/>
          <c:showSerName val="0"/>
          <c:showPercent val="0"/>
          <c:showBubbleSize val="0"/>
          <c:showLeaderLines val="1"/>
        </c:dLbls>
        <c:firstSliceAng val="0"/>
      </c:pieChart>
    </c:plotArea>
    <c:legend>
      <c:legendPos val="r"/>
      <c:layout>
        <c:manualLayout>
          <c:xMode val="edge"/>
          <c:yMode val="edge"/>
          <c:x val="8.9532581843169163E-3"/>
          <c:y val="0.20764620449739227"/>
          <c:w val="0.13580042648598789"/>
          <c:h val="0.64206443560849069"/>
        </c:manualLayout>
      </c:layout>
      <c:overlay val="0"/>
      <c:txPr>
        <a:bodyPr/>
        <a:lstStyle/>
        <a:p>
          <a:pPr>
            <a:defRPr b="1"/>
          </a:pPr>
          <a:endParaRPr lang="fr-FR"/>
        </a:p>
      </c:txPr>
    </c:legend>
    <c:plotVisOnly val="1"/>
    <c:dispBlanksAs val="gap"/>
    <c:showDLblsOverMax val="0"/>
  </c:chart>
  <c:spPr>
    <a:noFill/>
    <a:ln>
      <a:noFill/>
    </a:ln>
  </c:spPr>
  <c:printSettings>
    <c:headerFooter/>
    <c:pageMargins b="0.75000000000000022" l="0.70000000000000018" r="0.70000000000000018" t="0.75000000000000022" header="0.3000000000000001" footer="0.3000000000000001"/>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12"/>
    </mc:Choice>
    <mc:Fallback>
      <c:style val="12"/>
    </mc:Fallback>
  </mc:AlternateContent>
  <c:chart>
    <c:title>
      <c:tx>
        <c:rich>
          <a:bodyPr/>
          <a:lstStyle/>
          <a:p>
            <a:pPr>
              <a:defRPr sz="1100"/>
            </a:pPr>
            <a:r>
              <a:rPr lang="en-US" sz="1100"/>
              <a:t>Stratification by  Key Accounts </a:t>
            </a:r>
          </a:p>
        </c:rich>
      </c:tx>
      <c:overlay val="0"/>
    </c:title>
    <c:autoTitleDeleted val="0"/>
    <c:plotArea>
      <c:layout>
        <c:manualLayout>
          <c:layoutTarget val="inner"/>
          <c:xMode val="edge"/>
          <c:yMode val="edge"/>
          <c:x val="0.10786620530565189"/>
          <c:y val="0.12835361976323933"/>
          <c:w val="0.86766040923085364"/>
          <c:h val="0.75405556253071826"/>
        </c:manualLayout>
      </c:layout>
      <c:barChart>
        <c:barDir val="bar"/>
        <c:grouping val="percentStacked"/>
        <c:varyColors val="0"/>
        <c:ser>
          <c:idx val="3"/>
          <c:order val="0"/>
          <c:tx>
            <c:strRef>
              <c:f>'4.2 Domestic market stratif'!$B$44</c:f>
              <c:strCache>
                <c:ptCount val="1"/>
                <c:pt idx="0">
                  <c:v>INDUST. MECANIQ. MAGHREBINES</c:v>
                </c:pt>
              </c:strCache>
            </c:strRef>
          </c:tx>
          <c:invertIfNegative val="0"/>
          <c:dLbls>
            <c:spPr>
              <a:noFill/>
              <a:ln>
                <a:noFill/>
              </a:ln>
              <a:effectLst/>
            </c:spPr>
            <c:txPr>
              <a:bodyPr/>
              <a:lstStyle/>
              <a:p>
                <a:pPr>
                  <a:defRPr sz="1000" b="1"/>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'4.2 Domestic market stratif'!$C$43:$D$43</c:f>
              <c:strCache>
                <c:ptCount val="2"/>
                <c:pt idx="0">
                  <c:v>Volume (Pcs)</c:v>
                </c:pt>
                <c:pt idx="1">
                  <c:v>Revenue
(EUR '000)</c:v>
                </c:pt>
              </c:strCache>
            </c:strRef>
          </c:cat>
          <c:val>
            <c:numRef>
              <c:f>'4.2 Domestic market stratif'!$C$44:$D$44</c:f>
              <c:numCache>
                <c:formatCode>_-* #\ ##0_-;\-* #\ ##0_-;_-* "-"??_-;_-@_-</c:formatCode>
                <c:ptCount val="2"/>
                <c:pt idx="0" formatCode="General">
                  <c:v>6925</c:v>
                </c:pt>
                <c:pt idx="1">
                  <c:v>289.80405384686145</c:v>
                </c:pt>
              </c:numCache>
            </c:numRef>
          </c:val>
          <c:extLst>
            <c:ext xmlns:c16="http://schemas.microsoft.com/office/drawing/2014/chart" uri="{C3380CC4-5D6E-409C-BE32-E72D297353CC}">
              <c16:uniqueId val="{00000000-CB7E-47DB-92E2-A5A85074792A}"/>
            </c:ext>
          </c:extLst>
        </c:ser>
        <c:ser>
          <c:idx val="2"/>
          <c:order val="1"/>
          <c:tx>
            <c:strRef>
              <c:f>'4.2 Domestic market stratif'!$B$45</c:f>
              <c:strCache>
                <c:ptCount val="1"/>
                <c:pt idx="0">
                  <c:v>HAJJI MALEK BEN MED LAID</c:v>
                </c:pt>
              </c:strCache>
            </c:strRef>
          </c:tx>
          <c:invertIfNegative val="0"/>
          <c:dLbls>
            <c:spPr>
              <a:noFill/>
              <a:ln>
                <a:noFill/>
              </a:ln>
              <a:effectLst/>
            </c:spPr>
            <c:txPr>
              <a:bodyPr/>
              <a:lstStyle/>
              <a:p>
                <a:pPr>
                  <a:defRPr sz="1000" b="1"/>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'4.2 Domestic market stratif'!$C$43:$D$43</c:f>
              <c:strCache>
                <c:ptCount val="2"/>
                <c:pt idx="0">
                  <c:v>Volume (Pcs)</c:v>
                </c:pt>
                <c:pt idx="1">
                  <c:v>Revenue
(EUR '000)</c:v>
                </c:pt>
              </c:strCache>
            </c:strRef>
          </c:cat>
          <c:val>
            <c:numRef>
              <c:f>'4.2 Domestic market stratif'!$C$45:$D$45</c:f>
              <c:numCache>
                <c:formatCode>_-* #\ ##0_-;\-* #\ ##0_-;_-* "-"??_-;_-@_-</c:formatCode>
                <c:ptCount val="2"/>
                <c:pt idx="0" formatCode="General">
                  <c:v>4789</c:v>
                </c:pt>
                <c:pt idx="1">
                  <c:v>240.69452802224197</c:v>
                </c:pt>
              </c:numCache>
            </c:numRef>
          </c:val>
          <c:extLst>
            <c:ext xmlns:c16="http://schemas.microsoft.com/office/drawing/2014/chart" uri="{C3380CC4-5D6E-409C-BE32-E72D297353CC}">
              <c16:uniqueId val="{00000001-CB7E-47DB-92E2-A5A85074792A}"/>
            </c:ext>
          </c:extLst>
        </c:ser>
        <c:ser>
          <c:idx val="1"/>
          <c:order val="2"/>
          <c:tx>
            <c:strRef>
              <c:f>'4.2 Domestic market stratif'!$B$46</c:f>
              <c:strCache>
                <c:ptCount val="1"/>
                <c:pt idx="0">
                  <c:v>MOHAMED GHARIANI</c:v>
                </c:pt>
              </c:strCache>
            </c:strRef>
          </c:tx>
          <c:invertIfNegative val="0"/>
          <c:dLbls>
            <c:spPr>
              <a:noFill/>
              <a:ln>
                <a:noFill/>
              </a:ln>
              <a:effectLst/>
            </c:spPr>
            <c:txPr>
              <a:bodyPr wrap="square" lIns="38100" tIns="19050" rIns="38100" bIns="19050" anchor="ctr">
                <a:spAutoFit/>
              </a:bodyPr>
              <a:lstStyle/>
              <a:p>
                <a:pPr>
                  <a:defRPr sz="1000" b="1"/>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'4.2 Domestic market stratif'!$C$43:$D$43</c:f>
              <c:strCache>
                <c:ptCount val="2"/>
                <c:pt idx="0">
                  <c:v>Volume (Pcs)</c:v>
                </c:pt>
                <c:pt idx="1">
                  <c:v>Revenue
(EUR '000)</c:v>
                </c:pt>
              </c:strCache>
            </c:strRef>
          </c:cat>
          <c:val>
            <c:numRef>
              <c:f>'4.2 Domestic market stratif'!$C$46:$D$46</c:f>
              <c:numCache>
                <c:formatCode>_-* #\ ##0_-;\-* #\ ##0_-;_-* "-"??_-;_-@_-</c:formatCode>
                <c:ptCount val="2"/>
                <c:pt idx="0" formatCode="General">
                  <c:v>4699</c:v>
                </c:pt>
                <c:pt idx="1">
                  <c:v>237.61334784786217</c:v>
                </c:pt>
              </c:numCache>
            </c:numRef>
          </c:val>
          <c:extLst>
            <c:ext xmlns:c16="http://schemas.microsoft.com/office/drawing/2014/chart" uri="{C3380CC4-5D6E-409C-BE32-E72D297353CC}">
              <c16:uniqueId val="{00000002-CB7E-47DB-92E2-A5A85074792A}"/>
            </c:ext>
          </c:extLst>
        </c:ser>
        <c:ser>
          <c:idx val="0"/>
          <c:order val="3"/>
          <c:tx>
            <c:strRef>
              <c:f>'4.2 Domestic market stratif'!$B$47</c:f>
              <c:strCache>
                <c:ptCount val="1"/>
                <c:pt idx="0">
                  <c:v>UNIVERS ELECT.AUTOS HOSNI</c:v>
                </c:pt>
              </c:strCache>
            </c:strRef>
          </c:tx>
          <c:invertIfNegative val="0"/>
          <c:dLbls>
            <c:spPr>
              <a:noFill/>
              <a:ln>
                <a:noFill/>
              </a:ln>
              <a:effectLst/>
            </c:spPr>
            <c:txPr>
              <a:bodyPr/>
              <a:lstStyle/>
              <a:p>
                <a:pPr>
                  <a:defRPr sz="1000" b="1"/>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'4.2 Domestic market stratif'!$C$43:$D$43</c:f>
              <c:strCache>
                <c:ptCount val="2"/>
                <c:pt idx="0">
                  <c:v>Volume (Pcs)</c:v>
                </c:pt>
                <c:pt idx="1">
                  <c:v>Revenue
(EUR '000)</c:v>
                </c:pt>
              </c:strCache>
            </c:strRef>
          </c:cat>
          <c:val>
            <c:numRef>
              <c:f>'4.2 Domestic market stratif'!$C$47:$D$47</c:f>
              <c:numCache>
                <c:formatCode>_-* #\ ##0_-;\-* #\ ##0_-;_-* "-"??_-;_-@_-</c:formatCode>
                <c:ptCount val="2"/>
                <c:pt idx="0" formatCode="General">
                  <c:v>4295</c:v>
                </c:pt>
                <c:pt idx="1">
                  <c:v>222.92209358805223</c:v>
                </c:pt>
              </c:numCache>
            </c:numRef>
          </c:val>
          <c:extLst>
            <c:ext xmlns:c16="http://schemas.microsoft.com/office/drawing/2014/chart" uri="{C3380CC4-5D6E-409C-BE32-E72D297353CC}">
              <c16:uniqueId val="{00000003-CB7E-47DB-92E2-A5A85074792A}"/>
            </c:ext>
          </c:extLst>
        </c:ser>
        <c:ser>
          <c:idx val="4"/>
          <c:order val="4"/>
          <c:tx>
            <c:strRef>
              <c:f>'4.2 Domestic market stratif'!$B$48</c:f>
              <c:strCache>
                <c:ptCount val="1"/>
                <c:pt idx="0">
                  <c:v>STE DES PIECES DE RECHANGE</c:v>
                </c:pt>
              </c:strCache>
            </c:strRef>
          </c:tx>
          <c:invertIfNegative val="0"/>
          <c:dLbls>
            <c:spPr>
              <a:noFill/>
              <a:ln>
                <a:noFill/>
              </a:ln>
              <a:effectLst/>
            </c:spPr>
            <c:txPr>
              <a:bodyPr/>
              <a:lstStyle/>
              <a:p>
                <a:pPr>
                  <a:defRPr sz="1000" b="1"/>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'4.2 Domestic market stratif'!$C$43:$D$43</c:f>
              <c:strCache>
                <c:ptCount val="2"/>
                <c:pt idx="0">
                  <c:v>Volume (Pcs)</c:v>
                </c:pt>
                <c:pt idx="1">
                  <c:v>Revenue
(EUR '000)</c:v>
                </c:pt>
              </c:strCache>
            </c:strRef>
          </c:cat>
          <c:val>
            <c:numRef>
              <c:f>'4.2 Domestic market stratif'!$C$48:$D$48</c:f>
              <c:numCache>
                <c:formatCode>_-* #\ ##0_-;\-* #\ ##0_-;_-* "-"??_-;_-@_-</c:formatCode>
                <c:ptCount val="2"/>
                <c:pt idx="0" formatCode="General">
                  <c:v>2300</c:v>
                </c:pt>
                <c:pt idx="1">
                  <c:v>159.15291460958994</c:v>
                </c:pt>
              </c:numCache>
            </c:numRef>
          </c:val>
          <c:extLst>
            <c:ext xmlns:c16="http://schemas.microsoft.com/office/drawing/2014/chart" uri="{C3380CC4-5D6E-409C-BE32-E72D297353CC}">
              <c16:uniqueId val="{00000004-CB7E-47DB-92E2-A5A85074792A}"/>
            </c:ext>
          </c:extLst>
        </c:ser>
        <c:ser>
          <c:idx val="5"/>
          <c:order val="5"/>
          <c:tx>
            <c:strRef>
              <c:f>'4.2 Domestic market stratif'!$B$49</c:f>
              <c:strCache>
                <c:ptCount val="1"/>
                <c:pt idx="0">
                  <c:v>M. DEF.NAT.-D.MAT.ROUL.&amp;ESSE</c:v>
                </c:pt>
              </c:strCache>
            </c:strRef>
          </c:tx>
          <c:invertIfNegative val="0"/>
          <c:dLbls>
            <c:spPr>
              <a:noFill/>
              <a:ln>
                <a:noFill/>
              </a:ln>
              <a:effectLst/>
            </c:spPr>
            <c:txPr>
              <a:bodyPr/>
              <a:lstStyle/>
              <a:p>
                <a:pPr>
                  <a:defRPr sz="1000" b="1"/>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'4.2 Domestic market stratif'!$C$43:$D$43</c:f>
              <c:strCache>
                <c:ptCount val="2"/>
                <c:pt idx="0">
                  <c:v>Volume (Pcs)</c:v>
                </c:pt>
                <c:pt idx="1">
                  <c:v>Revenue
(EUR '000)</c:v>
                </c:pt>
              </c:strCache>
            </c:strRef>
          </c:cat>
          <c:val>
            <c:numRef>
              <c:f>'4.2 Domestic market stratif'!$C$49:$D$49</c:f>
              <c:numCache>
                <c:formatCode>_-* #\ ##0_-;\-* #\ ##0_-;_-* "-"??_-;_-@_-</c:formatCode>
                <c:ptCount val="2"/>
                <c:pt idx="0" formatCode="General">
                  <c:v>1772</c:v>
                </c:pt>
                <c:pt idx="1">
                  <c:v>150.68474318481495</c:v>
                </c:pt>
              </c:numCache>
            </c:numRef>
          </c:val>
          <c:extLst>
            <c:ext xmlns:c16="http://schemas.microsoft.com/office/drawing/2014/chart" uri="{C3380CC4-5D6E-409C-BE32-E72D297353CC}">
              <c16:uniqueId val="{00000005-CB7E-47DB-92E2-A5A85074792A}"/>
            </c:ext>
          </c:extLst>
        </c:ser>
        <c:ser>
          <c:idx val="6"/>
          <c:order val="6"/>
          <c:tx>
            <c:strRef>
              <c:f>'4.2 Domestic market stratif'!$B$50</c:f>
              <c:strCache>
                <c:ptCount val="1"/>
                <c:pt idx="0">
                  <c:v>GOLDS FILTRES</c:v>
                </c:pt>
              </c:strCache>
            </c:strRef>
          </c:tx>
          <c:invertIfNegative val="0"/>
          <c:dLbls>
            <c:spPr>
              <a:noFill/>
              <a:ln>
                <a:noFill/>
              </a:ln>
              <a:effectLst/>
            </c:spPr>
            <c:txPr>
              <a:bodyPr/>
              <a:lstStyle/>
              <a:p>
                <a:pPr>
                  <a:defRPr sz="1000" b="1"/>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'4.2 Domestic market stratif'!$C$43:$D$43</c:f>
              <c:strCache>
                <c:ptCount val="2"/>
                <c:pt idx="0">
                  <c:v>Volume (Pcs)</c:v>
                </c:pt>
                <c:pt idx="1">
                  <c:v>Revenue
(EUR '000)</c:v>
                </c:pt>
              </c:strCache>
            </c:strRef>
          </c:cat>
          <c:val>
            <c:numRef>
              <c:f>'4.2 Domestic market stratif'!$C$50:$D$50</c:f>
              <c:numCache>
                <c:formatCode>_-* #\ ##0_-;\-* #\ ##0_-;_-* "-"??_-;_-@_-</c:formatCode>
                <c:ptCount val="2"/>
                <c:pt idx="0" formatCode="General">
                  <c:v>1999</c:v>
                </c:pt>
                <c:pt idx="1">
                  <c:v>109.85782267741972</c:v>
                </c:pt>
              </c:numCache>
            </c:numRef>
          </c:val>
          <c:extLst>
            <c:ext xmlns:c16="http://schemas.microsoft.com/office/drawing/2014/chart" uri="{C3380CC4-5D6E-409C-BE32-E72D297353CC}">
              <c16:uniqueId val="{00000006-CB7E-47DB-92E2-A5A85074792A}"/>
            </c:ext>
          </c:extLst>
        </c:ser>
        <c:ser>
          <c:idx val="7"/>
          <c:order val="7"/>
          <c:tx>
            <c:strRef>
              <c:f>'4.2 Domestic market stratif'!$B$51</c:f>
              <c:strCache>
                <c:ptCount val="1"/>
                <c:pt idx="0">
                  <c:v>HAKIM BEN SADOK KHEMIS</c:v>
                </c:pt>
              </c:strCache>
            </c:strRef>
          </c:tx>
          <c:invertIfNegative val="0"/>
          <c:dLbls>
            <c:spPr>
              <a:noFill/>
              <a:ln>
                <a:noFill/>
              </a:ln>
              <a:effectLst/>
            </c:spPr>
            <c:txPr>
              <a:bodyPr/>
              <a:lstStyle/>
              <a:p>
                <a:pPr>
                  <a:defRPr sz="1000" b="1"/>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'4.2 Domestic market stratif'!$C$43:$D$43</c:f>
              <c:strCache>
                <c:ptCount val="2"/>
                <c:pt idx="0">
                  <c:v>Volume (Pcs)</c:v>
                </c:pt>
                <c:pt idx="1">
                  <c:v>Revenue
(EUR '000)</c:v>
                </c:pt>
              </c:strCache>
            </c:strRef>
          </c:cat>
          <c:val>
            <c:numRef>
              <c:f>'4.2 Domestic market stratif'!$C$51:$D$51</c:f>
              <c:numCache>
                <c:formatCode>_-* #\ ##0_-;\-* #\ ##0_-;_-* "-"??_-;_-@_-</c:formatCode>
                <c:ptCount val="2"/>
                <c:pt idx="0" formatCode="General">
                  <c:v>1881</c:v>
                </c:pt>
                <c:pt idx="1">
                  <c:v>105.07515833103356</c:v>
                </c:pt>
              </c:numCache>
            </c:numRef>
          </c:val>
          <c:extLst>
            <c:ext xmlns:c16="http://schemas.microsoft.com/office/drawing/2014/chart" uri="{C3380CC4-5D6E-409C-BE32-E72D297353CC}">
              <c16:uniqueId val="{00000007-CB7E-47DB-92E2-A5A85074792A}"/>
            </c:ext>
          </c:extLst>
        </c:ser>
        <c:ser>
          <c:idx val="8"/>
          <c:order val="8"/>
          <c:tx>
            <c:strRef>
              <c:f>'4.2 Domestic market stratif'!$B$52</c:f>
              <c:strCache>
                <c:ptCount val="1"/>
                <c:pt idx="0">
                  <c:v>GENERALE ELECT.AUTOMOBILE</c:v>
                </c:pt>
              </c:strCache>
            </c:strRef>
          </c:tx>
          <c:invertIfNegative val="0"/>
          <c:dLbls>
            <c:spPr>
              <a:noFill/>
              <a:ln>
                <a:noFill/>
              </a:ln>
              <a:effectLst/>
            </c:spPr>
            <c:txPr>
              <a:bodyPr wrap="square" lIns="38100" tIns="19050" rIns="38100" bIns="19050" anchor="ctr">
                <a:spAutoFit/>
              </a:bodyPr>
              <a:lstStyle/>
              <a:p>
                <a:pPr>
                  <a:defRPr b="1"/>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'4.2 Domestic market stratif'!$C$43:$D$43</c:f>
              <c:strCache>
                <c:ptCount val="2"/>
                <c:pt idx="0">
                  <c:v>Volume (Pcs)</c:v>
                </c:pt>
                <c:pt idx="1">
                  <c:v>Revenue
(EUR '000)</c:v>
                </c:pt>
              </c:strCache>
            </c:strRef>
          </c:cat>
          <c:val>
            <c:numRef>
              <c:f>'4.2 Domestic market stratif'!$C$52:$D$52</c:f>
              <c:numCache>
                <c:formatCode>_-* #\ ##0_-;\-* #\ ##0_-;_-* "-"??_-;_-@_-</c:formatCode>
                <c:ptCount val="2"/>
                <c:pt idx="0" formatCode="General">
                  <c:v>2166</c:v>
                </c:pt>
                <c:pt idx="1">
                  <c:v>104.95056558625406</c:v>
                </c:pt>
              </c:numCache>
            </c:numRef>
          </c:val>
          <c:extLst>
            <c:ext xmlns:c16="http://schemas.microsoft.com/office/drawing/2014/chart" uri="{C3380CC4-5D6E-409C-BE32-E72D297353CC}">
              <c16:uniqueId val="{00000008-CB7E-47DB-92E2-A5A85074792A}"/>
            </c:ext>
          </c:extLst>
        </c:ser>
        <c:ser>
          <c:idx val="9"/>
          <c:order val="9"/>
          <c:tx>
            <c:strRef>
              <c:f>'4.2 Domestic market stratif'!$B$53</c:f>
              <c:strCache>
                <c:ptCount val="1"/>
                <c:pt idx="0">
                  <c:v>CLIENT PASSAGER ASJ</c:v>
                </c:pt>
              </c:strCache>
            </c:strRef>
          </c:tx>
          <c:invertIfNegative val="0"/>
          <c:dLbls>
            <c:spPr>
              <a:noFill/>
              <a:ln>
                <a:noFill/>
              </a:ln>
              <a:effectLst/>
            </c:spPr>
            <c:txPr>
              <a:bodyPr wrap="square" lIns="38100" tIns="19050" rIns="38100" bIns="19050" anchor="ctr">
                <a:spAutoFit/>
              </a:bodyPr>
              <a:lstStyle/>
              <a:p>
                <a:pPr>
                  <a:defRPr b="1"/>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'4.2 Domestic market stratif'!$C$43:$D$43</c:f>
              <c:strCache>
                <c:ptCount val="2"/>
                <c:pt idx="0">
                  <c:v>Volume (Pcs)</c:v>
                </c:pt>
                <c:pt idx="1">
                  <c:v>Revenue
(EUR '000)</c:v>
                </c:pt>
              </c:strCache>
            </c:strRef>
          </c:cat>
          <c:val>
            <c:numRef>
              <c:f>'4.2 Domestic market stratif'!$C$53:$D$53</c:f>
              <c:numCache>
                <c:formatCode>_-* #\ ##0_-;\-* #\ ##0_-;_-* "-"??_-;_-@_-</c:formatCode>
                <c:ptCount val="2"/>
                <c:pt idx="0" formatCode="General">
                  <c:v>1259</c:v>
                </c:pt>
                <c:pt idx="1">
                  <c:v>102.70444555518061</c:v>
                </c:pt>
              </c:numCache>
            </c:numRef>
          </c:val>
          <c:extLst>
            <c:ext xmlns:c16="http://schemas.microsoft.com/office/drawing/2014/chart" uri="{C3380CC4-5D6E-409C-BE32-E72D297353CC}">
              <c16:uniqueId val="{00000009-CB7E-47DB-92E2-A5A85074792A}"/>
            </c:ext>
          </c:extLst>
        </c:ser>
        <c:dLbls>
          <c:showLegendKey val="0"/>
          <c:showVal val="0"/>
          <c:showCatName val="0"/>
          <c:showSerName val="0"/>
          <c:showPercent val="0"/>
          <c:showBubbleSize val="0"/>
        </c:dLbls>
        <c:gapWidth val="54"/>
        <c:overlap val="100"/>
        <c:serLines/>
        <c:axId val="54394880"/>
        <c:axId val="54396416"/>
      </c:barChart>
      <c:catAx>
        <c:axId val="54394880"/>
        <c:scaling>
          <c:orientation val="minMax"/>
        </c:scaling>
        <c:delete val="0"/>
        <c:axPos val="l"/>
        <c:numFmt formatCode="General" sourceLinked="1"/>
        <c:majorTickMark val="none"/>
        <c:minorTickMark val="none"/>
        <c:tickLblPos val="nextTo"/>
        <c:txPr>
          <a:bodyPr/>
          <a:lstStyle/>
          <a:p>
            <a:pPr>
              <a:defRPr sz="900" b="1"/>
            </a:pPr>
            <a:endParaRPr lang="fr-FR"/>
          </a:p>
        </c:txPr>
        <c:crossAx val="54396416"/>
        <c:crosses val="autoZero"/>
        <c:auto val="1"/>
        <c:lblAlgn val="ctr"/>
        <c:lblOffset val="100"/>
        <c:noMultiLvlLbl val="0"/>
      </c:catAx>
      <c:valAx>
        <c:axId val="54396416"/>
        <c:scaling>
          <c:orientation val="minMax"/>
        </c:scaling>
        <c:delete val="1"/>
        <c:axPos val="b"/>
        <c:majorGridlines/>
        <c:numFmt formatCode="0%" sourceLinked="1"/>
        <c:majorTickMark val="out"/>
        <c:minorTickMark val="none"/>
        <c:tickLblPos val="none"/>
        <c:crossAx val="54394880"/>
        <c:crosses val="autoZero"/>
        <c:crossBetween val="between"/>
      </c:valAx>
      <c:spPr>
        <a:noFill/>
      </c:spPr>
    </c:plotArea>
    <c:legend>
      <c:legendPos val="r"/>
      <c:layout>
        <c:manualLayout>
          <c:xMode val="edge"/>
          <c:yMode val="edge"/>
          <c:x val="0"/>
          <c:y val="0.88980862255871063"/>
          <c:w val="0.99240373951225191"/>
          <c:h val="0.11019143321709976"/>
        </c:manualLayout>
      </c:layout>
      <c:overlay val="0"/>
      <c:txPr>
        <a:bodyPr/>
        <a:lstStyle/>
        <a:p>
          <a:pPr>
            <a:defRPr sz="700" b="1"/>
          </a:pPr>
          <a:endParaRPr lang="fr-FR"/>
        </a:p>
      </c:txPr>
    </c:legend>
    <c:plotVisOnly val="1"/>
    <c:dispBlanksAs val="gap"/>
    <c:showDLblsOverMax val="0"/>
  </c:chart>
  <c:spPr>
    <a:noFill/>
    <a:ln>
      <a:noFill/>
    </a:ln>
  </c:spPr>
  <c:printSettings>
    <c:headerFooter/>
    <c:pageMargins b="0.75000000000000211" l="0.70000000000000062" r="0.70000000000000062" t="0.75000000000000211" header="0.30000000000000032" footer="0.30000000000000032"/>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12"/>
    </mc:Choice>
    <mc:Fallback>
      <c:style val="12"/>
    </mc:Fallback>
  </mc:AlternateContent>
  <c:chart>
    <c:title>
      <c:tx>
        <c:rich>
          <a:bodyPr/>
          <a:lstStyle/>
          <a:p>
            <a:pPr>
              <a:defRPr sz="1100"/>
            </a:pPr>
            <a:r>
              <a:rPr lang="en-US" sz="1100"/>
              <a:t>Top</a:t>
            </a:r>
            <a:r>
              <a:rPr lang="en-US" sz="1100" baseline="0"/>
              <a:t> 10/Total</a:t>
            </a:r>
            <a:endParaRPr lang="en-US" sz="1100"/>
          </a:p>
        </c:rich>
      </c:tx>
      <c:layout>
        <c:manualLayout>
          <c:xMode val="edge"/>
          <c:yMode val="edge"/>
          <c:x val="0.19808628085952648"/>
          <c:y val="4.7768065355740442E-2"/>
        </c:manualLayout>
      </c:layout>
      <c:overlay val="0"/>
    </c:title>
    <c:autoTitleDeleted val="0"/>
    <c:plotArea>
      <c:layout>
        <c:manualLayout>
          <c:layoutTarget val="inner"/>
          <c:xMode val="edge"/>
          <c:yMode val="edge"/>
          <c:x val="4.5025510779601614E-3"/>
          <c:y val="0.12835365497701892"/>
          <c:w val="0.95828994444575577"/>
          <c:h val="0.74902916682039133"/>
        </c:manualLayout>
      </c:layout>
      <c:barChart>
        <c:barDir val="bar"/>
        <c:grouping val="percentStacked"/>
        <c:varyColors val="0"/>
        <c:ser>
          <c:idx val="3"/>
          <c:order val="0"/>
          <c:tx>
            <c:strRef>
              <c:f>'4.2 Domestic market stratif'!$B$59</c:f>
              <c:strCache>
                <c:ptCount val="1"/>
                <c:pt idx="0">
                  <c:v>KA coverage</c:v>
                </c:pt>
              </c:strCache>
            </c:strRef>
          </c:tx>
          <c:spPr>
            <a:solidFill>
              <a:schemeClr val="tx1">
                <a:lumMod val="50000"/>
                <a:lumOff val="50000"/>
              </a:schemeClr>
            </a:solidFill>
          </c:spPr>
          <c:invertIfNegative val="0"/>
          <c:dLbls>
            <c:spPr>
              <a:noFill/>
              <a:ln>
                <a:noFill/>
              </a:ln>
              <a:effectLst/>
            </c:spPr>
            <c:txPr>
              <a:bodyPr/>
              <a:lstStyle/>
              <a:p>
                <a:pPr>
                  <a:defRPr sz="1000" b="1">
                    <a:solidFill>
                      <a:schemeClr val="bg1"/>
                    </a:solidFill>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'4.2 Domestic market stratif'!$C$57:$E$57</c:f>
              <c:numCache>
                <c:formatCode>General</c:formatCode>
                <c:ptCount val="3"/>
              </c:numCache>
            </c:numRef>
          </c:cat>
          <c:val>
            <c:numRef>
              <c:f>'4.2 Domestic market stratif'!$C$59:$E$59</c:f>
              <c:numCache>
                <c:formatCode>0%</c:formatCode>
                <c:ptCount val="3"/>
                <c:pt idx="0">
                  <c:v>0.14981929229820973</c:v>
                </c:pt>
                <c:pt idx="1">
                  <c:v>0.14335725166453245</c:v>
                </c:pt>
              </c:numCache>
            </c:numRef>
          </c:val>
          <c:extLst>
            <c:ext xmlns:c16="http://schemas.microsoft.com/office/drawing/2014/chart" uri="{C3380CC4-5D6E-409C-BE32-E72D297353CC}">
              <c16:uniqueId val="{00000000-EA9D-4D8F-952B-3D221272F173}"/>
            </c:ext>
          </c:extLst>
        </c:ser>
        <c:dLbls>
          <c:showLegendKey val="0"/>
          <c:showVal val="0"/>
          <c:showCatName val="0"/>
          <c:showSerName val="0"/>
          <c:showPercent val="0"/>
          <c:showBubbleSize val="0"/>
        </c:dLbls>
        <c:gapWidth val="54"/>
        <c:overlap val="100"/>
        <c:serLines/>
        <c:axId val="54421376"/>
        <c:axId val="54422912"/>
      </c:barChart>
      <c:catAx>
        <c:axId val="54421376"/>
        <c:scaling>
          <c:orientation val="minMax"/>
        </c:scaling>
        <c:delete val="1"/>
        <c:axPos val="l"/>
        <c:numFmt formatCode="General" sourceLinked="1"/>
        <c:majorTickMark val="none"/>
        <c:minorTickMark val="none"/>
        <c:tickLblPos val="none"/>
        <c:crossAx val="54422912"/>
        <c:crosses val="autoZero"/>
        <c:auto val="1"/>
        <c:lblAlgn val="ctr"/>
        <c:lblOffset val="100"/>
        <c:noMultiLvlLbl val="0"/>
      </c:catAx>
      <c:valAx>
        <c:axId val="54422912"/>
        <c:scaling>
          <c:orientation val="minMax"/>
        </c:scaling>
        <c:delete val="1"/>
        <c:axPos val="b"/>
        <c:majorGridlines/>
        <c:numFmt formatCode="0%" sourceLinked="1"/>
        <c:majorTickMark val="out"/>
        <c:minorTickMark val="none"/>
        <c:tickLblPos val="none"/>
        <c:crossAx val="54421376"/>
        <c:crosses val="autoZero"/>
        <c:crossBetween val="between"/>
      </c:valAx>
      <c:spPr>
        <a:noFill/>
      </c:spPr>
    </c:plotArea>
    <c:plotVisOnly val="1"/>
    <c:dispBlanksAs val="gap"/>
    <c:showDLblsOverMax val="0"/>
  </c:chart>
  <c:spPr>
    <a:noFill/>
    <a:ln>
      <a:noFill/>
    </a:ln>
  </c:spPr>
  <c:printSettings>
    <c:headerFooter/>
    <c:pageMargins b="0.75000000000000233" l="0.70000000000000062" r="0.70000000000000062" t="0.75000000000000233" header="0.30000000000000032" footer="0.30000000000000032"/>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1"/>
    </mc:Choice>
    <mc:Fallback>
      <c:style val="1"/>
    </mc:Fallback>
  </mc:AlternateContent>
  <c:chart>
    <c:title>
      <c:tx>
        <c:rich>
          <a:bodyPr/>
          <a:lstStyle/>
          <a:p>
            <a:pPr>
              <a:defRPr sz="1100"/>
            </a:pPr>
            <a:r>
              <a:rPr lang="en-US" sz="1100"/>
              <a:t>Revenue</a:t>
            </a:r>
            <a:r>
              <a:rPr lang="en-US" sz="1100" baseline="0"/>
              <a:t> stratification by Territory (EUR ''000)</a:t>
            </a:r>
            <a:endParaRPr lang="en-US" sz="1100"/>
          </a:p>
        </c:rich>
      </c:tx>
      <c:layout>
        <c:manualLayout>
          <c:xMode val="edge"/>
          <c:yMode val="edge"/>
          <c:x val="0.21404282431676949"/>
          <c:y val="4.1440921916641157E-2"/>
        </c:manualLayout>
      </c:layout>
      <c:overlay val="0"/>
    </c:title>
    <c:autoTitleDeleted val="0"/>
    <c:plotArea>
      <c:layout>
        <c:manualLayout>
          <c:layoutTarget val="inner"/>
          <c:xMode val="edge"/>
          <c:yMode val="edge"/>
          <c:x val="0.21257118656420074"/>
          <c:y val="0.18019038845574495"/>
          <c:w val="0.46922747425831385"/>
          <c:h val="0.7739834745617179"/>
        </c:manualLayout>
      </c:layout>
      <c:pieChart>
        <c:varyColors val="1"/>
        <c:ser>
          <c:idx val="0"/>
          <c:order val="0"/>
          <c:tx>
            <c:strRef>
              <c:f>'4.2 Domestic market stratif'!$I$43</c:f>
              <c:strCache>
                <c:ptCount val="1"/>
                <c:pt idx="0">
                  <c:v>Revenue
(EUR '000)</c:v>
                </c:pt>
              </c:strCache>
            </c:strRef>
          </c:tx>
          <c:dPt>
            <c:idx val="0"/>
            <c:bubble3D val="0"/>
            <c:spPr>
              <a:solidFill>
                <a:schemeClr val="accent5"/>
              </a:solidFill>
            </c:spPr>
            <c:extLst>
              <c:ext xmlns:c16="http://schemas.microsoft.com/office/drawing/2014/chart" uri="{C3380CC4-5D6E-409C-BE32-E72D297353CC}">
                <c16:uniqueId val="{00000001-45D9-4943-A9B2-500EFC01EB4E}"/>
              </c:ext>
            </c:extLst>
          </c:dPt>
          <c:dLbls>
            <c:spPr>
              <a:noFill/>
              <a:ln>
                <a:noFill/>
              </a:ln>
              <a:effectLst/>
            </c:spPr>
            <c:txPr>
              <a:bodyPr wrap="square" lIns="38100" tIns="19050" rIns="38100" bIns="19050" anchor="ctr">
                <a:spAutoFit/>
              </a:bodyPr>
              <a:lstStyle/>
              <a:p>
                <a:pPr>
                  <a:defRPr b="1"/>
                </a:pPr>
                <a:endParaRPr lang="fr-FR"/>
              </a:p>
            </c:txPr>
            <c:dLblPos val="outEnd"/>
            <c:showLegendKey val="0"/>
            <c:showVal val="1"/>
            <c:showCatName val="0"/>
            <c:showSerName val="0"/>
            <c:showPercent val="0"/>
            <c:showBubbleSize val="0"/>
            <c:showLeaderLines val="1"/>
            <c:extLst>
              <c:ext xmlns:c15="http://schemas.microsoft.com/office/drawing/2012/chart" uri="{CE6537A1-D6FC-4f65-9D91-7224C49458BB}"/>
            </c:extLst>
          </c:dLbls>
          <c:cat>
            <c:strRef>
              <c:f>'4.2 Domestic market stratif'!$H$44:$H$49</c:f>
              <c:strCache>
                <c:ptCount val="6"/>
                <c:pt idx="0">
                  <c:v>Agency GABES</c:v>
                </c:pt>
                <c:pt idx="1">
                  <c:v>Agency GAFSA</c:v>
                </c:pt>
                <c:pt idx="2">
                  <c:v>Agency JENDOUBA</c:v>
                </c:pt>
                <c:pt idx="3">
                  <c:v>Agency MEGRINE</c:v>
                </c:pt>
                <c:pt idx="4">
                  <c:v>Agency SFAX</c:v>
                </c:pt>
                <c:pt idx="5">
                  <c:v>Agency SOUSSE</c:v>
                </c:pt>
              </c:strCache>
            </c:strRef>
          </c:cat>
          <c:val>
            <c:numRef>
              <c:f>'4.2 Domestic market stratif'!$I$44:$I$49</c:f>
              <c:numCache>
                <c:formatCode>_-* #\ ##0_-;\-* #\ ##0_-;_-* "-"??_-;_-@_-</c:formatCode>
                <c:ptCount val="6"/>
                <c:pt idx="0">
                  <c:v>1053.7513399905856</c:v>
                </c:pt>
                <c:pt idx="1">
                  <c:v>1462.0743697719486</c:v>
                </c:pt>
                <c:pt idx="2">
                  <c:v>842.77942735067711</c:v>
                </c:pt>
                <c:pt idx="3">
                  <c:v>4902.1455552790558</c:v>
                </c:pt>
                <c:pt idx="4">
                  <c:v>2223.905411248727</c:v>
                </c:pt>
                <c:pt idx="5">
                  <c:v>1537.4749935870218</c:v>
                </c:pt>
              </c:numCache>
            </c:numRef>
          </c:val>
          <c:extLst>
            <c:ext xmlns:c16="http://schemas.microsoft.com/office/drawing/2014/chart" uri="{C3380CC4-5D6E-409C-BE32-E72D297353CC}">
              <c16:uniqueId val="{00000002-45D9-4943-A9B2-500EFC01EB4E}"/>
            </c:ext>
          </c:extLst>
        </c:ser>
        <c:dLbls>
          <c:showLegendKey val="0"/>
          <c:showVal val="0"/>
          <c:showCatName val="0"/>
          <c:showSerName val="0"/>
          <c:showPercent val="0"/>
          <c:showBubbleSize val="0"/>
          <c:showLeaderLines val="1"/>
        </c:dLbls>
        <c:firstSliceAng val="0"/>
      </c:pieChart>
    </c:plotArea>
    <c:legend>
      <c:legendPos val="r"/>
      <c:layout>
        <c:manualLayout>
          <c:xMode val="edge"/>
          <c:yMode val="edge"/>
          <c:x val="8.9532581843169163E-3"/>
          <c:y val="0.20764620449739227"/>
          <c:w val="0.1231990331935057"/>
          <c:h val="0.63822844138643564"/>
        </c:manualLayout>
      </c:layout>
      <c:overlay val="0"/>
      <c:txPr>
        <a:bodyPr/>
        <a:lstStyle/>
        <a:p>
          <a:pPr>
            <a:defRPr b="1"/>
          </a:pPr>
          <a:endParaRPr lang="fr-FR"/>
        </a:p>
      </c:txPr>
    </c:legend>
    <c:plotVisOnly val="1"/>
    <c:dispBlanksAs val="gap"/>
    <c:showDLblsOverMax val="0"/>
  </c:chart>
  <c:spPr>
    <a:noFill/>
    <a:ln>
      <a:noFill/>
    </a:ln>
  </c:spPr>
  <c:printSettings>
    <c:headerFooter/>
    <c:pageMargins b="0.75000000000000022" l="0.70000000000000018" r="0.70000000000000018" t="0.75000000000000022" header="0.3000000000000001" footer="0.3000000000000001"/>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12"/>
    </mc:Choice>
    <mc:Fallback>
      <c:style val="12"/>
    </mc:Fallback>
  </mc:AlternateContent>
  <c:chart>
    <c:title>
      <c:tx>
        <c:rich>
          <a:bodyPr/>
          <a:lstStyle/>
          <a:p>
            <a:pPr>
              <a:defRPr sz="1000"/>
            </a:pPr>
            <a:r>
              <a:rPr lang="en-US" sz="1000"/>
              <a:t>Stratification by TOP SKUs (Starter batteries</a:t>
            </a:r>
            <a:r>
              <a:rPr lang="en-US" sz="1000" baseline="0"/>
              <a:t>)</a:t>
            </a:r>
            <a:endParaRPr lang="en-US" sz="1000"/>
          </a:p>
        </c:rich>
      </c:tx>
      <c:overlay val="0"/>
    </c:title>
    <c:autoTitleDeleted val="0"/>
    <c:plotArea>
      <c:layout>
        <c:manualLayout>
          <c:layoutTarget val="inner"/>
          <c:xMode val="edge"/>
          <c:yMode val="edge"/>
          <c:x val="0.10786620530565183"/>
          <c:y val="0.12835361976323939"/>
          <c:w val="0.86766040923085364"/>
          <c:h val="0.75405556253071804"/>
        </c:manualLayout>
      </c:layout>
      <c:barChart>
        <c:barDir val="bar"/>
        <c:grouping val="percentStacked"/>
        <c:varyColors val="0"/>
        <c:ser>
          <c:idx val="3"/>
          <c:order val="0"/>
          <c:tx>
            <c:strRef>
              <c:f>'4.3 Domestic product strati'!$B$38</c:f>
              <c:strCache>
                <c:ptCount val="1"/>
                <c:pt idx="0">
                  <c:v>10S3</c:v>
                </c:pt>
              </c:strCache>
            </c:strRef>
          </c:tx>
          <c:invertIfNegative val="0"/>
          <c:dLbls>
            <c:spPr>
              <a:noFill/>
              <a:ln>
                <a:noFill/>
              </a:ln>
              <a:effectLst/>
            </c:spPr>
            <c:txPr>
              <a:bodyPr/>
              <a:lstStyle/>
              <a:p>
                <a:pPr>
                  <a:defRPr sz="1000" b="1"/>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'4.3 Domestic product strati'!$C$37:$D$37</c:f>
              <c:strCache>
                <c:ptCount val="2"/>
                <c:pt idx="0">
                  <c:v>Volume (Pcs)</c:v>
                </c:pt>
                <c:pt idx="1">
                  <c:v>Revenue
(EUR '000)</c:v>
                </c:pt>
              </c:strCache>
            </c:strRef>
          </c:cat>
          <c:val>
            <c:numRef>
              <c:f>'4.3 Domestic product strati'!$C$38:$D$38</c:f>
              <c:numCache>
                <c:formatCode>_-* #\ ##0_-;\-* #\ ##0_-;_-* "-"??_-;_-@_-</c:formatCode>
                <c:ptCount val="2"/>
                <c:pt idx="0">
                  <c:v>21224</c:v>
                </c:pt>
                <c:pt idx="1">
                  <c:v>1193.35863502296</c:v>
                </c:pt>
              </c:numCache>
            </c:numRef>
          </c:val>
          <c:extLst>
            <c:ext xmlns:c16="http://schemas.microsoft.com/office/drawing/2014/chart" uri="{C3380CC4-5D6E-409C-BE32-E72D297353CC}">
              <c16:uniqueId val="{00000000-E458-4664-B361-5FBCACB0844D}"/>
            </c:ext>
          </c:extLst>
        </c:ser>
        <c:ser>
          <c:idx val="2"/>
          <c:order val="1"/>
          <c:tx>
            <c:strRef>
              <c:f>'4.3 Domestic product strati'!$B$39</c:f>
              <c:strCache>
                <c:ptCount val="1"/>
                <c:pt idx="0">
                  <c:v>10S2</c:v>
                </c:pt>
              </c:strCache>
            </c:strRef>
          </c:tx>
          <c:invertIfNegative val="0"/>
          <c:dLbls>
            <c:spPr>
              <a:noFill/>
              <a:ln>
                <a:noFill/>
              </a:ln>
              <a:effectLst/>
            </c:spPr>
            <c:txPr>
              <a:bodyPr/>
              <a:lstStyle/>
              <a:p>
                <a:pPr>
                  <a:defRPr sz="1000" b="1"/>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'4.3 Domestic product strati'!$C$37:$D$37</c:f>
              <c:strCache>
                <c:ptCount val="2"/>
                <c:pt idx="0">
                  <c:v>Volume (Pcs)</c:v>
                </c:pt>
                <c:pt idx="1">
                  <c:v>Revenue
(EUR '000)</c:v>
                </c:pt>
              </c:strCache>
            </c:strRef>
          </c:cat>
          <c:val>
            <c:numRef>
              <c:f>'4.3 Domestic product strati'!$C$39:$D$39</c:f>
              <c:numCache>
                <c:formatCode>_-* #\ ##0_-;\-* #\ ##0_-;_-* "-"??_-;_-@_-</c:formatCode>
                <c:ptCount val="2"/>
                <c:pt idx="0">
                  <c:v>19851</c:v>
                </c:pt>
                <c:pt idx="1">
                  <c:v>966.88413462429594</c:v>
                </c:pt>
              </c:numCache>
            </c:numRef>
          </c:val>
          <c:extLst>
            <c:ext xmlns:c16="http://schemas.microsoft.com/office/drawing/2014/chart" uri="{C3380CC4-5D6E-409C-BE32-E72D297353CC}">
              <c16:uniqueId val="{00000001-E458-4664-B361-5FBCACB0844D}"/>
            </c:ext>
          </c:extLst>
        </c:ser>
        <c:ser>
          <c:idx val="1"/>
          <c:order val="2"/>
          <c:tx>
            <c:strRef>
              <c:f>'4.3 Domestic product strati'!$B$40</c:f>
              <c:strCache>
                <c:ptCount val="1"/>
                <c:pt idx="0">
                  <c:v>10PM11</c:v>
                </c:pt>
              </c:strCache>
            </c:strRef>
          </c:tx>
          <c:invertIfNegative val="0"/>
          <c:dLbls>
            <c:spPr>
              <a:noFill/>
              <a:ln>
                <a:noFill/>
              </a:ln>
              <a:effectLst/>
            </c:spPr>
            <c:txPr>
              <a:bodyPr wrap="square" lIns="38100" tIns="19050" rIns="38100" bIns="19050" anchor="ctr">
                <a:spAutoFit/>
              </a:bodyPr>
              <a:lstStyle/>
              <a:p>
                <a:pPr>
                  <a:defRPr sz="1000" b="1"/>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'4.3 Domestic product strati'!$C$37:$D$37</c:f>
              <c:strCache>
                <c:ptCount val="2"/>
                <c:pt idx="0">
                  <c:v>Volume (Pcs)</c:v>
                </c:pt>
                <c:pt idx="1">
                  <c:v>Revenue
(EUR '000)</c:v>
                </c:pt>
              </c:strCache>
            </c:strRef>
          </c:cat>
          <c:val>
            <c:numRef>
              <c:f>'4.3 Domestic product strati'!$C$40:$D$40</c:f>
              <c:numCache>
                <c:formatCode>_-* #\ ##0_-;\-* #\ ##0_-;_-* "-"??_-;_-@_-</c:formatCode>
                <c:ptCount val="2"/>
                <c:pt idx="0">
                  <c:v>13586</c:v>
                </c:pt>
                <c:pt idx="1">
                  <c:v>920.08292356057029</c:v>
                </c:pt>
              </c:numCache>
            </c:numRef>
          </c:val>
          <c:extLst>
            <c:ext xmlns:c16="http://schemas.microsoft.com/office/drawing/2014/chart" uri="{C3380CC4-5D6E-409C-BE32-E72D297353CC}">
              <c16:uniqueId val="{00000002-E458-4664-B361-5FBCACB0844D}"/>
            </c:ext>
          </c:extLst>
        </c:ser>
        <c:ser>
          <c:idx val="0"/>
          <c:order val="3"/>
          <c:tx>
            <c:strRef>
              <c:f>'4.3 Domestic product strati'!$B$41</c:f>
              <c:strCache>
                <c:ptCount val="1"/>
                <c:pt idx="0">
                  <c:v>10PM10</c:v>
                </c:pt>
              </c:strCache>
            </c:strRef>
          </c:tx>
          <c:invertIfNegative val="0"/>
          <c:dLbls>
            <c:spPr>
              <a:noFill/>
              <a:ln>
                <a:noFill/>
              </a:ln>
              <a:effectLst/>
            </c:spPr>
            <c:txPr>
              <a:bodyPr/>
              <a:lstStyle/>
              <a:p>
                <a:pPr>
                  <a:defRPr sz="1000" b="1"/>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'4.3 Domestic product strati'!$C$37:$D$37</c:f>
              <c:strCache>
                <c:ptCount val="2"/>
                <c:pt idx="0">
                  <c:v>Volume (Pcs)</c:v>
                </c:pt>
                <c:pt idx="1">
                  <c:v>Revenue
(EUR '000)</c:v>
                </c:pt>
              </c:strCache>
            </c:strRef>
          </c:cat>
          <c:val>
            <c:numRef>
              <c:f>'4.3 Domestic product strati'!$C$41:$D$41</c:f>
              <c:numCache>
                <c:formatCode>_-* #\ ##0_-;\-* #\ ##0_-;_-* "-"??_-;_-@_-</c:formatCode>
                <c:ptCount val="2"/>
                <c:pt idx="0">
                  <c:v>20151</c:v>
                </c:pt>
                <c:pt idx="1">
                  <c:v>882.04573289379312</c:v>
                </c:pt>
              </c:numCache>
            </c:numRef>
          </c:val>
          <c:extLst>
            <c:ext xmlns:c16="http://schemas.microsoft.com/office/drawing/2014/chart" uri="{C3380CC4-5D6E-409C-BE32-E72D297353CC}">
              <c16:uniqueId val="{00000003-E458-4664-B361-5FBCACB0844D}"/>
            </c:ext>
          </c:extLst>
        </c:ser>
        <c:ser>
          <c:idx val="4"/>
          <c:order val="4"/>
          <c:tx>
            <c:strRef>
              <c:f>'4.3 Domestic product strati'!$B$42</c:f>
              <c:strCache>
                <c:ptCount val="1"/>
                <c:pt idx="0">
                  <c:v>10PL3</c:v>
                </c:pt>
              </c:strCache>
            </c:strRef>
          </c:tx>
          <c:invertIfNegative val="0"/>
          <c:dLbls>
            <c:spPr>
              <a:noFill/>
              <a:ln>
                <a:noFill/>
              </a:ln>
              <a:effectLst/>
            </c:spPr>
            <c:txPr>
              <a:bodyPr/>
              <a:lstStyle/>
              <a:p>
                <a:pPr>
                  <a:defRPr sz="1000" b="1"/>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'4.3 Domestic product strati'!$C$37:$D$37</c:f>
              <c:strCache>
                <c:ptCount val="2"/>
                <c:pt idx="0">
                  <c:v>Volume (Pcs)</c:v>
                </c:pt>
                <c:pt idx="1">
                  <c:v>Revenue
(EUR '000)</c:v>
                </c:pt>
              </c:strCache>
            </c:strRef>
          </c:cat>
          <c:val>
            <c:numRef>
              <c:f>'4.3 Domestic product strati'!$C$42:$D$42</c:f>
              <c:numCache>
                <c:formatCode>_-* #\ ##0_-;\-* #\ ##0_-;_-* "-"??_-;_-@_-</c:formatCode>
                <c:ptCount val="2"/>
                <c:pt idx="0">
                  <c:v>16229</c:v>
                </c:pt>
                <c:pt idx="1">
                  <c:v>772.39440443919909</c:v>
                </c:pt>
              </c:numCache>
            </c:numRef>
          </c:val>
          <c:extLst>
            <c:ext xmlns:c16="http://schemas.microsoft.com/office/drawing/2014/chart" uri="{C3380CC4-5D6E-409C-BE32-E72D297353CC}">
              <c16:uniqueId val="{00000004-E458-4664-B361-5FBCACB0844D}"/>
            </c:ext>
          </c:extLst>
        </c:ser>
        <c:ser>
          <c:idx val="5"/>
          <c:order val="5"/>
          <c:tx>
            <c:strRef>
              <c:f>'4.3 Domestic product strati'!$B$43</c:f>
              <c:strCache>
                <c:ptCount val="1"/>
                <c:pt idx="0">
                  <c:v>10M15</c:v>
                </c:pt>
              </c:strCache>
            </c:strRef>
          </c:tx>
          <c:invertIfNegative val="0"/>
          <c:dLbls>
            <c:spPr>
              <a:noFill/>
              <a:ln>
                <a:noFill/>
              </a:ln>
              <a:effectLst/>
            </c:spPr>
            <c:txPr>
              <a:bodyPr/>
              <a:lstStyle/>
              <a:p>
                <a:pPr>
                  <a:defRPr sz="1000" b="1"/>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'4.3 Domestic product strati'!$C$37:$D$37</c:f>
              <c:strCache>
                <c:ptCount val="2"/>
                <c:pt idx="0">
                  <c:v>Volume (Pcs)</c:v>
                </c:pt>
                <c:pt idx="1">
                  <c:v>Revenue
(EUR '000)</c:v>
                </c:pt>
              </c:strCache>
            </c:strRef>
          </c:cat>
          <c:val>
            <c:numRef>
              <c:f>'4.3 Domestic product strati'!$C$43:$D$43</c:f>
              <c:numCache>
                <c:formatCode>_-* #\ ##0_-;\-* #\ ##0_-;_-* "-"??_-;_-@_-</c:formatCode>
                <c:ptCount val="2"/>
                <c:pt idx="0">
                  <c:v>6766</c:v>
                </c:pt>
                <c:pt idx="1">
                  <c:v>736.47276613719168</c:v>
                </c:pt>
              </c:numCache>
            </c:numRef>
          </c:val>
          <c:extLst>
            <c:ext xmlns:c16="http://schemas.microsoft.com/office/drawing/2014/chart" uri="{C3380CC4-5D6E-409C-BE32-E72D297353CC}">
              <c16:uniqueId val="{00000005-E458-4664-B361-5FBCACB0844D}"/>
            </c:ext>
          </c:extLst>
        </c:ser>
        <c:ser>
          <c:idx val="6"/>
          <c:order val="6"/>
          <c:tx>
            <c:strRef>
              <c:f>'4.3 Domestic product strati'!$B$44</c:f>
              <c:strCache>
                <c:ptCount val="1"/>
                <c:pt idx="0">
                  <c:v>10S1</c:v>
                </c:pt>
              </c:strCache>
            </c:strRef>
          </c:tx>
          <c:invertIfNegative val="0"/>
          <c:dLbls>
            <c:spPr>
              <a:noFill/>
              <a:ln>
                <a:noFill/>
              </a:ln>
              <a:effectLst/>
            </c:spPr>
            <c:txPr>
              <a:bodyPr/>
              <a:lstStyle/>
              <a:p>
                <a:pPr>
                  <a:defRPr sz="1000" b="1"/>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'4.3 Domestic product strati'!$C$37:$D$37</c:f>
              <c:strCache>
                <c:ptCount val="2"/>
                <c:pt idx="0">
                  <c:v>Volume (Pcs)</c:v>
                </c:pt>
                <c:pt idx="1">
                  <c:v>Revenue
(EUR '000)</c:v>
                </c:pt>
              </c:strCache>
            </c:strRef>
          </c:cat>
          <c:val>
            <c:numRef>
              <c:f>'4.3 Domestic product strati'!$C$44:$D$44</c:f>
              <c:numCache>
                <c:formatCode>_-* #\ ##0_-;\-* #\ ##0_-;_-* "-"??_-;_-@_-</c:formatCode>
                <c:ptCount val="2"/>
                <c:pt idx="0">
                  <c:v>15254</c:v>
                </c:pt>
                <c:pt idx="1">
                  <c:v>594.36305148570261</c:v>
                </c:pt>
              </c:numCache>
            </c:numRef>
          </c:val>
          <c:extLst>
            <c:ext xmlns:c16="http://schemas.microsoft.com/office/drawing/2014/chart" uri="{C3380CC4-5D6E-409C-BE32-E72D297353CC}">
              <c16:uniqueId val="{00000006-E458-4664-B361-5FBCACB0844D}"/>
            </c:ext>
          </c:extLst>
        </c:ser>
        <c:ser>
          <c:idx val="7"/>
          <c:order val="7"/>
          <c:tx>
            <c:strRef>
              <c:f>'4.3 Domestic product strati'!$B$45</c:f>
              <c:strCache>
                <c:ptCount val="1"/>
                <c:pt idx="0">
                  <c:v>10M14</c:v>
                </c:pt>
              </c:strCache>
            </c:strRef>
          </c:tx>
          <c:invertIfNegative val="0"/>
          <c:dLbls>
            <c:spPr>
              <a:noFill/>
              <a:ln>
                <a:noFill/>
              </a:ln>
              <a:effectLst/>
            </c:spPr>
            <c:txPr>
              <a:bodyPr/>
              <a:lstStyle/>
              <a:p>
                <a:pPr>
                  <a:defRPr sz="1000" b="1"/>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'4.3 Domestic product strati'!$C$37:$D$37</c:f>
              <c:strCache>
                <c:ptCount val="2"/>
                <c:pt idx="0">
                  <c:v>Volume (Pcs)</c:v>
                </c:pt>
                <c:pt idx="1">
                  <c:v>Revenue
(EUR '000)</c:v>
                </c:pt>
              </c:strCache>
            </c:strRef>
          </c:cat>
          <c:val>
            <c:numRef>
              <c:f>'4.3 Domestic product strati'!$C$45:$D$45</c:f>
              <c:numCache>
                <c:formatCode>_-* #\ ##0_-;\-* #\ ##0_-;_-* "-"??_-;_-@_-</c:formatCode>
                <c:ptCount val="2"/>
                <c:pt idx="0">
                  <c:v>5519</c:v>
                </c:pt>
                <c:pt idx="1">
                  <c:v>545.34757510451891</c:v>
                </c:pt>
              </c:numCache>
            </c:numRef>
          </c:val>
          <c:extLst>
            <c:ext xmlns:c16="http://schemas.microsoft.com/office/drawing/2014/chart" uri="{C3380CC4-5D6E-409C-BE32-E72D297353CC}">
              <c16:uniqueId val="{00000007-E458-4664-B361-5FBCACB0844D}"/>
            </c:ext>
          </c:extLst>
        </c:ser>
        <c:ser>
          <c:idx val="8"/>
          <c:order val="8"/>
          <c:tx>
            <c:strRef>
              <c:f>'4.3 Domestic product strati'!$B$46</c:f>
              <c:strCache>
                <c:ptCount val="1"/>
                <c:pt idx="0">
                  <c:v>10PRM10</c:v>
                </c:pt>
              </c:strCache>
            </c:strRef>
          </c:tx>
          <c:invertIfNegative val="0"/>
          <c:dLbls>
            <c:spPr>
              <a:noFill/>
              <a:ln>
                <a:noFill/>
              </a:ln>
              <a:effectLst/>
            </c:spPr>
            <c:txPr>
              <a:bodyPr wrap="square" lIns="38100" tIns="19050" rIns="38100" bIns="19050" anchor="ctr">
                <a:spAutoFit/>
              </a:bodyPr>
              <a:lstStyle/>
              <a:p>
                <a:pPr>
                  <a:defRPr sz="1000" b="1"/>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'4.3 Domestic product strati'!$C$37:$D$37</c:f>
              <c:strCache>
                <c:ptCount val="2"/>
                <c:pt idx="0">
                  <c:v>Volume (Pcs)</c:v>
                </c:pt>
                <c:pt idx="1">
                  <c:v>Revenue
(EUR '000)</c:v>
                </c:pt>
              </c:strCache>
            </c:strRef>
          </c:cat>
          <c:val>
            <c:numRef>
              <c:f>'4.3 Domestic product strati'!$C$46:$D$46</c:f>
              <c:numCache>
                <c:formatCode>_-* #\ ##0_-;\-* #\ ##0_-;_-* "-"??_-;_-@_-</c:formatCode>
                <c:ptCount val="2"/>
                <c:pt idx="0">
                  <c:v>10824</c:v>
                </c:pt>
                <c:pt idx="1">
                  <c:v>499.56867984422166</c:v>
                </c:pt>
              </c:numCache>
            </c:numRef>
          </c:val>
          <c:extLst>
            <c:ext xmlns:c16="http://schemas.microsoft.com/office/drawing/2014/chart" uri="{C3380CC4-5D6E-409C-BE32-E72D297353CC}">
              <c16:uniqueId val="{00000008-E458-4664-B361-5FBCACB0844D}"/>
            </c:ext>
          </c:extLst>
        </c:ser>
        <c:ser>
          <c:idx val="9"/>
          <c:order val="9"/>
          <c:tx>
            <c:strRef>
              <c:f>'4.3 Domestic product strati'!$B$47</c:f>
              <c:strCache>
                <c:ptCount val="1"/>
                <c:pt idx="0">
                  <c:v>10PL1</c:v>
                </c:pt>
              </c:strCache>
            </c:strRef>
          </c:tx>
          <c:invertIfNegative val="0"/>
          <c:dLbls>
            <c:spPr>
              <a:noFill/>
              <a:ln>
                <a:noFill/>
              </a:ln>
              <a:effectLst/>
            </c:spPr>
            <c:txPr>
              <a:bodyPr wrap="square" lIns="38100" tIns="19050" rIns="38100" bIns="19050" anchor="ctr">
                <a:spAutoFit/>
              </a:bodyPr>
              <a:lstStyle/>
              <a:p>
                <a:pPr>
                  <a:defRPr sz="1000" b="1"/>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'4.3 Domestic product strati'!$C$37:$D$37</c:f>
              <c:strCache>
                <c:ptCount val="2"/>
                <c:pt idx="0">
                  <c:v>Volume (Pcs)</c:v>
                </c:pt>
                <c:pt idx="1">
                  <c:v>Revenue
(EUR '000)</c:v>
                </c:pt>
              </c:strCache>
            </c:strRef>
          </c:cat>
          <c:val>
            <c:numRef>
              <c:f>'4.3 Domestic product strati'!$C$47:$D$47</c:f>
              <c:numCache>
                <c:formatCode>_-* #\ ##0_-;\-* #\ ##0_-;_-* "-"??_-;_-@_-</c:formatCode>
                <c:ptCount val="2"/>
                <c:pt idx="0">
                  <c:v>13796</c:v>
                </c:pt>
                <c:pt idx="1">
                  <c:v>487.08630640988497</c:v>
                </c:pt>
              </c:numCache>
            </c:numRef>
          </c:val>
          <c:extLst>
            <c:ext xmlns:c16="http://schemas.microsoft.com/office/drawing/2014/chart" uri="{C3380CC4-5D6E-409C-BE32-E72D297353CC}">
              <c16:uniqueId val="{00000009-E458-4664-B361-5FBCACB0844D}"/>
            </c:ext>
          </c:extLst>
        </c:ser>
        <c:ser>
          <c:idx val="10"/>
          <c:order val="10"/>
          <c:tx>
            <c:strRef>
              <c:f>'4.3 Domestic product strati'!$B$48</c:f>
              <c:strCache>
                <c:ptCount val="1"/>
                <c:pt idx="0">
                  <c:v>10PL2</c:v>
                </c:pt>
              </c:strCache>
            </c:strRef>
          </c:tx>
          <c:invertIfNegative val="0"/>
          <c:dLbls>
            <c:spPr>
              <a:noFill/>
              <a:ln>
                <a:noFill/>
              </a:ln>
              <a:effectLst/>
            </c:spPr>
            <c:txPr>
              <a:bodyPr wrap="square" lIns="38100" tIns="19050" rIns="38100" bIns="19050" anchor="ctr">
                <a:spAutoFit/>
              </a:bodyPr>
              <a:lstStyle/>
              <a:p>
                <a:pPr>
                  <a:defRPr b="1"/>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'4.3 Domestic product strati'!$C$37:$D$37</c:f>
              <c:strCache>
                <c:ptCount val="2"/>
                <c:pt idx="0">
                  <c:v>Volume (Pcs)</c:v>
                </c:pt>
                <c:pt idx="1">
                  <c:v>Revenue
(EUR '000)</c:v>
                </c:pt>
              </c:strCache>
            </c:strRef>
          </c:cat>
          <c:val>
            <c:numRef>
              <c:f>'4.3 Domestic product strati'!$C$48:$D$48</c:f>
              <c:numCache>
                <c:formatCode>_-* #\ ##0_-;\-* #\ ##0_-;_-* "-"??_-;_-@_-</c:formatCode>
                <c:ptCount val="2"/>
                <c:pt idx="0">
                  <c:v>10956</c:v>
                </c:pt>
                <c:pt idx="1">
                  <c:v>460.51111033086642</c:v>
                </c:pt>
              </c:numCache>
            </c:numRef>
          </c:val>
          <c:extLst>
            <c:ext xmlns:c16="http://schemas.microsoft.com/office/drawing/2014/chart" uri="{C3380CC4-5D6E-409C-BE32-E72D297353CC}">
              <c16:uniqueId val="{0000000A-E458-4664-B361-5FBCACB0844D}"/>
            </c:ext>
          </c:extLst>
        </c:ser>
        <c:ser>
          <c:idx val="11"/>
          <c:order val="11"/>
          <c:tx>
            <c:strRef>
              <c:f>'4.3 Domestic product strati'!$B$49</c:f>
              <c:strCache>
                <c:ptCount val="1"/>
                <c:pt idx="0">
                  <c:v>10PM12</c:v>
                </c:pt>
              </c:strCache>
            </c:strRef>
          </c:tx>
          <c:invertIfNegative val="0"/>
          <c:dLbls>
            <c:dLbl>
              <c:idx val="0"/>
              <c:layout>
                <c:manualLayout>
                  <c:x val="1.1899738662052017E-16"/>
                  <c:y val="-7.123402472239681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B-E458-4664-B361-5FBCACB0844D}"/>
                </c:ext>
              </c:extLst>
            </c:dLbl>
            <c:spPr>
              <a:noFill/>
              <a:ln>
                <a:noFill/>
              </a:ln>
              <a:effectLst/>
            </c:spPr>
            <c:txPr>
              <a:bodyPr/>
              <a:lstStyle/>
              <a:p>
                <a:pPr>
                  <a:defRPr sz="1000" b="1"/>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'4.3 Domestic product strati'!$C$37:$D$37</c:f>
              <c:strCache>
                <c:ptCount val="2"/>
                <c:pt idx="0">
                  <c:v>Volume (Pcs)</c:v>
                </c:pt>
                <c:pt idx="1">
                  <c:v>Revenue
(EUR '000)</c:v>
                </c:pt>
              </c:strCache>
            </c:strRef>
          </c:cat>
          <c:val>
            <c:numRef>
              <c:f>'4.3 Domestic product strati'!$C$49:$D$49</c:f>
              <c:numCache>
                <c:formatCode>_-* #\ ##0_-;\-* #\ ##0_-;_-* "-"??_-;_-@_-</c:formatCode>
                <c:ptCount val="2"/>
                <c:pt idx="0">
                  <c:v>5276</c:v>
                </c:pt>
                <c:pt idx="1">
                  <c:v>400.8605230556152</c:v>
                </c:pt>
              </c:numCache>
            </c:numRef>
          </c:val>
          <c:extLst>
            <c:ext xmlns:c16="http://schemas.microsoft.com/office/drawing/2014/chart" uri="{C3380CC4-5D6E-409C-BE32-E72D297353CC}">
              <c16:uniqueId val="{0000000C-E458-4664-B361-5FBCACB0844D}"/>
            </c:ext>
          </c:extLst>
        </c:ser>
        <c:ser>
          <c:idx val="12"/>
          <c:order val="12"/>
          <c:tx>
            <c:strRef>
              <c:f>'4.3 Domestic product strati'!$B$50</c:f>
              <c:strCache>
                <c:ptCount val="1"/>
                <c:pt idx="0">
                  <c:v>10M15S</c:v>
                </c:pt>
              </c:strCache>
            </c:strRef>
          </c:tx>
          <c:invertIfNegative val="0"/>
          <c:dLbls>
            <c:spPr>
              <a:noFill/>
              <a:ln>
                <a:noFill/>
              </a:ln>
              <a:effectLst/>
            </c:spPr>
            <c:txPr>
              <a:bodyPr wrap="square" lIns="38100" tIns="19050" rIns="38100" bIns="19050" anchor="ctr">
                <a:spAutoFit/>
              </a:bodyPr>
              <a:lstStyle/>
              <a:p>
                <a:pPr>
                  <a:defRPr sz="1000" b="1"/>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'4.3 Domestic product strati'!$C$37:$D$37</c:f>
              <c:strCache>
                <c:ptCount val="2"/>
                <c:pt idx="0">
                  <c:v>Volume (Pcs)</c:v>
                </c:pt>
                <c:pt idx="1">
                  <c:v>Revenue
(EUR '000)</c:v>
                </c:pt>
              </c:strCache>
            </c:strRef>
          </c:cat>
          <c:val>
            <c:numRef>
              <c:f>'4.3 Domestic product strati'!$C$50:$D$50</c:f>
              <c:numCache>
                <c:formatCode>_-* #\ ##0_-;\-* #\ ##0_-;_-* "-"??_-;_-@_-</c:formatCode>
                <c:ptCount val="2"/>
                <c:pt idx="0">
                  <c:v>2650</c:v>
                </c:pt>
                <c:pt idx="1">
                  <c:v>332.61460713256218</c:v>
                </c:pt>
              </c:numCache>
            </c:numRef>
          </c:val>
          <c:extLst>
            <c:ext xmlns:c16="http://schemas.microsoft.com/office/drawing/2014/chart" uri="{C3380CC4-5D6E-409C-BE32-E72D297353CC}">
              <c16:uniqueId val="{0000000D-E458-4664-B361-5FBCACB0844D}"/>
            </c:ext>
          </c:extLst>
        </c:ser>
        <c:ser>
          <c:idx val="13"/>
          <c:order val="13"/>
          <c:tx>
            <c:strRef>
              <c:f>'4.3 Domestic product strati'!$B$51</c:f>
              <c:strCache>
                <c:ptCount val="1"/>
                <c:pt idx="0">
                  <c:v>10S5</c:v>
                </c:pt>
              </c:strCache>
            </c:strRef>
          </c:tx>
          <c:invertIfNegative val="0"/>
          <c:dLbls>
            <c:dLbl>
              <c:idx val="0"/>
              <c:layout>
                <c:manualLayout>
                  <c:x val="0"/>
                  <c:y val="7.961449821914938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E-E458-4664-B361-5FBCACB0844D}"/>
                </c:ext>
              </c:extLst>
            </c:dLbl>
            <c:spPr>
              <a:noFill/>
              <a:ln>
                <a:noFill/>
              </a:ln>
              <a:effectLst/>
            </c:spPr>
            <c:txPr>
              <a:bodyPr wrap="square" lIns="38100" tIns="19050" rIns="38100" bIns="19050" anchor="ctr">
                <a:spAutoFit/>
              </a:bodyPr>
              <a:lstStyle/>
              <a:p>
                <a:pPr>
                  <a:defRPr sz="1000" b="1"/>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'4.3 Domestic product strati'!$C$37:$D$37</c:f>
              <c:strCache>
                <c:ptCount val="2"/>
                <c:pt idx="0">
                  <c:v>Volume (Pcs)</c:v>
                </c:pt>
                <c:pt idx="1">
                  <c:v>Revenue
(EUR '000)</c:v>
                </c:pt>
              </c:strCache>
            </c:strRef>
          </c:cat>
          <c:val>
            <c:numRef>
              <c:f>'4.3 Domestic product strati'!$C$51:$D$51</c:f>
              <c:numCache>
                <c:formatCode>_-* #\ ##0_-;\-* #\ ##0_-;_-* "-"??_-;_-@_-</c:formatCode>
                <c:ptCount val="2"/>
                <c:pt idx="0">
                  <c:v>3922</c:v>
                </c:pt>
                <c:pt idx="1">
                  <c:v>299.84410444328739</c:v>
                </c:pt>
              </c:numCache>
            </c:numRef>
          </c:val>
          <c:extLst>
            <c:ext xmlns:c16="http://schemas.microsoft.com/office/drawing/2014/chart" uri="{C3380CC4-5D6E-409C-BE32-E72D297353CC}">
              <c16:uniqueId val="{0000000F-E458-4664-B361-5FBCACB0844D}"/>
            </c:ext>
          </c:extLst>
        </c:ser>
        <c:ser>
          <c:idx val="14"/>
          <c:order val="14"/>
          <c:tx>
            <c:strRef>
              <c:f>'4.3 Domestic product stratif.'!#REF!</c:f>
              <c:strCache>
                <c:ptCount val="1"/>
                <c:pt idx="0">
                  <c:v>#REF!</c:v>
                </c:pt>
              </c:strCache>
            </c:strRef>
          </c:tx>
          <c:invertIfNegative val="0"/>
          <c:cat>
            <c:strRef>
              <c:f>'4.3 Domestic product strati'!$C$37:$D$37</c:f>
              <c:strCache>
                <c:ptCount val="2"/>
                <c:pt idx="0">
                  <c:v>Volume (Pcs)</c:v>
                </c:pt>
                <c:pt idx="1">
                  <c:v>Revenue
(EUR '000)</c:v>
                </c:pt>
              </c:strCache>
            </c:strRef>
          </c:cat>
          <c:val>
            <c:numRef>
              <c:f>'4.3 Domestic product stratif.'!#REF!</c:f>
              <c:numCache>
                <c:formatCode>General</c:formatCode>
                <c:ptCount val="1"/>
                <c:pt idx="0">
                  <c:v>1</c:v>
                </c:pt>
              </c:numCache>
            </c:numRef>
          </c:val>
          <c:extLst>
            <c:ext xmlns:c16="http://schemas.microsoft.com/office/drawing/2014/chart" uri="{C3380CC4-5D6E-409C-BE32-E72D297353CC}">
              <c16:uniqueId val="{00000010-E458-4664-B361-5FBCACB0844D}"/>
            </c:ext>
          </c:extLst>
        </c:ser>
        <c:dLbls>
          <c:showLegendKey val="0"/>
          <c:showVal val="0"/>
          <c:showCatName val="0"/>
          <c:showSerName val="0"/>
          <c:showPercent val="0"/>
          <c:showBubbleSize val="0"/>
        </c:dLbls>
        <c:gapWidth val="54"/>
        <c:overlap val="100"/>
        <c:serLines/>
        <c:axId val="54075392"/>
        <c:axId val="54076928"/>
      </c:barChart>
      <c:catAx>
        <c:axId val="54075392"/>
        <c:scaling>
          <c:orientation val="minMax"/>
        </c:scaling>
        <c:delete val="0"/>
        <c:axPos val="l"/>
        <c:numFmt formatCode="General" sourceLinked="1"/>
        <c:majorTickMark val="none"/>
        <c:minorTickMark val="none"/>
        <c:tickLblPos val="nextTo"/>
        <c:txPr>
          <a:bodyPr/>
          <a:lstStyle/>
          <a:p>
            <a:pPr>
              <a:defRPr sz="1000" b="1"/>
            </a:pPr>
            <a:endParaRPr lang="fr-FR"/>
          </a:p>
        </c:txPr>
        <c:crossAx val="54076928"/>
        <c:crosses val="autoZero"/>
        <c:auto val="1"/>
        <c:lblAlgn val="ctr"/>
        <c:lblOffset val="100"/>
        <c:noMultiLvlLbl val="0"/>
      </c:catAx>
      <c:valAx>
        <c:axId val="54076928"/>
        <c:scaling>
          <c:orientation val="minMax"/>
        </c:scaling>
        <c:delete val="1"/>
        <c:axPos val="b"/>
        <c:majorGridlines/>
        <c:numFmt formatCode="0%" sourceLinked="1"/>
        <c:majorTickMark val="out"/>
        <c:minorTickMark val="none"/>
        <c:tickLblPos val="none"/>
        <c:crossAx val="54075392"/>
        <c:crosses val="autoZero"/>
        <c:crossBetween val="between"/>
      </c:valAx>
      <c:spPr>
        <a:noFill/>
      </c:spPr>
    </c:plotArea>
    <c:legend>
      <c:legendPos val="r"/>
      <c:legendEntry>
        <c:idx val="14"/>
        <c:delete val="1"/>
      </c:legendEntry>
      <c:layout>
        <c:manualLayout>
          <c:xMode val="edge"/>
          <c:yMode val="edge"/>
          <c:x val="0.13468496164014876"/>
          <c:y val="0.88980865135415588"/>
          <c:w val="0.73089533236941784"/>
          <c:h val="0.11019134393444134"/>
        </c:manualLayout>
      </c:layout>
      <c:overlay val="0"/>
      <c:txPr>
        <a:bodyPr/>
        <a:lstStyle/>
        <a:p>
          <a:pPr>
            <a:defRPr sz="1000" b="1"/>
          </a:pPr>
          <a:endParaRPr lang="fr-FR"/>
        </a:p>
      </c:txPr>
    </c:legend>
    <c:plotVisOnly val="1"/>
    <c:dispBlanksAs val="gap"/>
    <c:showDLblsOverMax val="0"/>
  </c:chart>
  <c:spPr>
    <a:noFill/>
    <a:ln>
      <a:noFill/>
    </a:ln>
  </c:spPr>
  <c:printSettings>
    <c:headerFooter/>
    <c:pageMargins b="0.75000000000000189" l="0.70000000000000062" r="0.70000000000000062" t="0.75000000000000189" header="0.30000000000000032" footer="0.30000000000000032"/>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12"/>
    </mc:Choice>
    <mc:Fallback>
      <c:style val="12"/>
    </mc:Fallback>
  </mc:AlternateContent>
  <c:chart>
    <c:title>
      <c:tx>
        <c:rich>
          <a:bodyPr/>
          <a:lstStyle/>
          <a:p>
            <a:pPr>
              <a:defRPr sz="1000"/>
            </a:pPr>
            <a:r>
              <a:rPr lang="en-US" sz="1000"/>
              <a:t>Top 14</a:t>
            </a:r>
            <a:r>
              <a:rPr lang="en-US" sz="1000" baseline="0"/>
              <a:t> SKUs coverage</a:t>
            </a:r>
            <a:endParaRPr lang="en-US" sz="1000"/>
          </a:p>
        </c:rich>
      </c:tx>
      <c:overlay val="0"/>
    </c:title>
    <c:autoTitleDeleted val="0"/>
    <c:plotArea>
      <c:layout>
        <c:manualLayout>
          <c:layoutTarget val="inner"/>
          <c:xMode val="edge"/>
          <c:yMode val="edge"/>
          <c:x val="1.7236801681357165E-2"/>
          <c:y val="0.12835361976323933"/>
          <c:w val="0.95828994444575577"/>
          <c:h val="0.74902916682039111"/>
        </c:manualLayout>
      </c:layout>
      <c:barChart>
        <c:barDir val="bar"/>
        <c:grouping val="percentStacked"/>
        <c:varyColors val="0"/>
        <c:ser>
          <c:idx val="3"/>
          <c:order val="0"/>
          <c:tx>
            <c:strRef>
              <c:f>'4.3 Domestic product strati'!$B$55</c:f>
              <c:strCache>
                <c:ptCount val="1"/>
                <c:pt idx="0">
                  <c:v>Coverage TOP 14 SKUs</c:v>
                </c:pt>
              </c:strCache>
            </c:strRef>
          </c:tx>
          <c:spPr>
            <a:solidFill>
              <a:schemeClr val="tx1">
                <a:lumMod val="50000"/>
                <a:lumOff val="50000"/>
              </a:schemeClr>
            </a:solidFill>
          </c:spPr>
          <c:invertIfNegative val="0"/>
          <c:dLbls>
            <c:spPr>
              <a:noFill/>
              <a:ln>
                <a:noFill/>
              </a:ln>
              <a:effectLst/>
            </c:spPr>
            <c:txPr>
              <a:bodyPr/>
              <a:lstStyle/>
              <a:p>
                <a:pPr>
                  <a:defRPr sz="1100" b="1">
                    <a:solidFill>
                      <a:schemeClr val="bg1"/>
                    </a:solidFill>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'4.3 Domestic product strati'!$C$53:$E$53</c:f>
              <c:numCache>
                <c:formatCode>General</c:formatCode>
                <c:ptCount val="3"/>
              </c:numCache>
            </c:numRef>
          </c:cat>
          <c:val>
            <c:numRef>
              <c:f>'4.3 Domestic product strati'!$C$55:$E$55</c:f>
              <c:numCache>
                <c:formatCode>0%</c:formatCode>
                <c:ptCount val="3"/>
                <c:pt idx="0">
                  <c:v>0.77514732113673079</c:v>
                </c:pt>
                <c:pt idx="1">
                  <c:v>0.75623311882254773</c:v>
                </c:pt>
              </c:numCache>
            </c:numRef>
          </c:val>
          <c:extLst>
            <c:ext xmlns:c16="http://schemas.microsoft.com/office/drawing/2014/chart" uri="{C3380CC4-5D6E-409C-BE32-E72D297353CC}">
              <c16:uniqueId val="{00000000-BEAB-436B-9B8C-BF1D2AC68D0F}"/>
            </c:ext>
          </c:extLst>
        </c:ser>
        <c:dLbls>
          <c:showLegendKey val="0"/>
          <c:showVal val="0"/>
          <c:showCatName val="0"/>
          <c:showSerName val="0"/>
          <c:showPercent val="0"/>
          <c:showBubbleSize val="0"/>
        </c:dLbls>
        <c:gapWidth val="54"/>
        <c:overlap val="100"/>
        <c:serLines/>
        <c:axId val="54106368"/>
        <c:axId val="54108160"/>
      </c:barChart>
      <c:catAx>
        <c:axId val="54106368"/>
        <c:scaling>
          <c:orientation val="minMax"/>
        </c:scaling>
        <c:delete val="1"/>
        <c:axPos val="l"/>
        <c:numFmt formatCode="General" sourceLinked="1"/>
        <c:majorTickMark val="none"/>
        <c:minorTickMark val="none"/>
        <c:tickLblPos val="none"/>
        <c:crossAx val="54108160"/>
        <c:crosses val="autoZero"/>
        <c:auto val="1"/>
        <c:lblAlgn val="ctr"/>
        <c:lblOffset val="100"/>
        <c:noMultiLvlLbl val="0"/>
      </c:catAx>
      <c:valAx>
        <c:axId val="54108160"/>
        <c:scaling>
          <c:orientation val="minMax"/>
        </c:scaling>
        <c:delete val="1"/>
        <c:axPos val="b"/>
        <c:majorGridlines/>
        <c:numFmt formatCode="0%" sourceLinked="1"/>
        <c:majorTickMark val="out"/>
        <c:minorTickMark val="none"/>
        <c:tickLblPos val="none"/>
        <c:crossAx val="54106368"/>
        <c:crosses val="autoZero"/>
        <c:crossBetween val="between"/>
      </c:valAx>
      <c:spPr>
        <a:noFill/>
      </c:spPr>
    </c:plotArea>
    <c:plotVisOnly val="1"/>
    <c:dispBlanksAs val="gap"/>
    <c:showDLblsOverMax val="0"/>
  </c:chart>
  <c:spPr>
    <a:noFill/>
    <a:ln>
      <a:noFill/>
    </a:ln>
  </c:spPr>
  <c:printSettings>
    <c:headerFooter/>
    <c:pageMargins b="0.75000000000000211" l="0.70000000000000062" r="0.70000000000000062" t="0.75000000000000211" header="0.30000000000000032" footer="0.30000000000000032"/>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00"/>
            </a:pPr>
            <a:r>
              <a:rPr lang="en-GB" sz="1000"/>
              <a:t>Price dynamics</a:t>
            </a:r>
          </a:p>
        </c:rich>
      </c:tx>
      <c:overlay val="0"/>
    </c:title>
    <c:autoTitleDeleted val="0"/>
    <c:plotArea>
      <c:layout>
        <c:manualLayout>
          <c:layoutTarget val="inner"/>
          <c:xMode val="edge"/>
          <c:yMode val="edge"/>
          <c:x val="0.12679719895659008"/>
          <c:y val="0.18503395810219303"/>
          <c:w val="0.82381385793723905"/>
          <c:h val="0.55151593076816041"/>
        </c:manualLayout>
      </c:layout>
      <c:barChart>
        <c:barDir val="col"/>
        <c:grouping val="clustered"/>
        <c:varyColors val="0"/>
        <c:ser>
          <c:idx val="0"/>
          <c:order val="0"/>
          <c:tx>
            <c:strRef>
              <c:f>'4.3 Domestic product strati'!$I$37</c:f>
              <c:strCache>
                <c:ptCount val="1"/>
                <c:pt idx="0">
                  <c:v>Volume (Pcs)</c:v>
                </c:pt>
              </c:strCache>
            </c:strRef>
          </c:tx>
          <c:spPr>
            <a:solidFill>
              <a:schemeClr val="accent2"/>
            </a:solidFill>
            <a:ln w="38100">
              <a:solidFill>
                <a:schemeClr val="accent5"/>
              </a:solidFill>
            </a:ln>
          </c:spPr>
          <c:invertIfNegative val="0"/>
          <c:dLbls>
            <c:spPr>
              <a:noFill/>
              <a:ln>
                <a:noFill/>
              </a:ln>
              <a:effectLst/>
            </c:spPr>
            <c:txPr>
              <a:bodyPr/>
              <a:lstStyle/>
              <a:p>
                <a:pPr>
                  <a:defRPr sz="800" b="1"/>
                </a:pPr>
                <a:endParaRPr lang="fr-FR"/>
              </a:p>
            </c:txPr>
            <c:dLblPos val="inBase"/>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'4.3 Domestic product strati'!$H$38:$H$51</c:f>
              <c:strCache>
                <c:ptCount val="14"/>
                <c:pt idx="0">
                  <c:v>10S3</c:v>
                </c:pt>
                <c:pt idx="1">
                  <c:v>10S2</c:v>
                </c:pt>
                <c:pt idx="2">
                  <c:v>10PM11</c:v>
                </c:pt>
                <c:pt idx="3">
                  <c:v>10PM10</c:v>
                </c:pt>
                <c:pt idx="4">
                  <c:v>10PL3</c:v>
                </c:pt>
                <c:pt idx="5">
                  <c:v>10M15</c:v>
                </c:pt>
                <c:pt idx="6">
                  <c:v>10S1</c:v>
                </c:pt>
                <c:pt idx="7">
                  <c:v>10M14</c:v>
                </c:pt>
                <c:pt idx="8">
                  <c:v>10PRM10</c:v>
                </c:pt>
                <c:pt idx="9">
                  <c:v>10PL1</c:v>
                </c:pt>
                <c:pt idx="10">
                  <c:v>10PL2</c:v>
                </c:pt>
                <c:pt idx="11">
                  <c:v>10PM12</c:v>
                </c:pt>
                <c:pt idx="12">
                  <c:v>10M15S</c:v>
                </c:pt>
                <c:pt idx="13">
                  <c:v>10S5</c:v>
                </c:pt>
              </c:strCache>
            </c:strRef>
          </c:cat>
          <c:val>
            <c:numRef>
              <c:f>'4.3 Domestic product strati'!$I$38:$I$51</c:f>
              <c:numCache>
                <c:formatCode>_-* #\ ##0_-;\-* #\ ##0_-;_-* "-"??_-;_-@_-</c:formatCode>
                <c:ptCount val="14"/>
                <c:pt idx="0">
                  <c:v>21224</c:v>
                </c:pt>
                <c:pt idx="1">
                  <c:v>19851</c:v>
                </c:pt>
                <c:pt idx="2">
                  <c:v>13586</c:v>
                </c:pt>
                <c:pt idx="3">
                  <c:v>20151</c:v>
                </c:pt>
                <c:pt idx="4">
                  <c:v>16229</c:v>
                </c:pt>
                <c:pt idx="5">
                  <c:v>6766</c:v>
                </c:pt>
                <c:pt idx="6">
                  <c:v>15254</c:v>
                </c:pt>
                <c:pt idx="7">
                  <c:v>5519</c:v>
                </c:pt>
                <c:pt idx="8">
                  <c:v>10824</c:v>
                </c:pt>
                <c:pt idx="9">
                  <c:v>13796</c:v>
                </c:pt>
                <c:pt idx="10">
                  <c:v>10956</c:v>
                </c:pt>
                <c:pt idx="11">
                  <c:v>5276</c:v>
                </c:pt>
                <c:pt idx="12">
                  <c:v>2650</c:v>
                </c:pt>
                <c:pt idx="13">
                  <c:v>3922</c:v>
                </c:pt>
              </c:numCache>
            </c:numRef>
          </c:val>
          <c:extLst>
            <c:ext xmlns:c16="http://schemas.microsoft.com/office/drawing/2014/chart" uri="{C3380CC4-5D6E-409C-BE32-E72D297353CC}">
              <c16:uniqueId val="{00000000-5096-4EFC-9479-8B1F3A416418}"/>
            </c:ext>
          </c:extLst>
        </c:ser>
        <c:dLbls>
          <c:showLegendKey val="0"/>
          <c:showVal val="0"/>
          <c:showCatName val="0"/>
          <c:showSerName val="0"/>
          <c:showPercent val="0"/>
          <c:showBubbleSize val="0"/>
        </c:dLbls>
        <c:gapWidth val="44"/>
        <c:axId val="54245248"/>
        <c:axId val="54246784"/>
      </c:barChart>
      <c:lineChart>
        <c:grouping val="standard"/>
        <c:varyColors val="0"/>
        <c:ser>
          <c:idx val="1"/>
          <c:order val="1"/>
          <c:tx>
            <c:strRef>
              <c:f>'4.3 Domestic product strati'!$J$37</c:f>
              <c:strCache>
                <c:ptCount val="1"/>
                <c:pt idx="0">
                  <c:v>Avg. Net sales price p/u YTD Dec (TND)</c:v>
                </c:pt>
              </c:strCache>
            </c:strRef>
          </c:tx>
          <c:marker>
            <c:symbol val="none"/>
          </c:marker>
          <c:dLbls>
            <c:spPr>
              <a:solidFill>
                <a:schemeClr val="tx2"/>
              </a:solidFill>
            </c:spPr>
            <c:txPr>
              <a:bodyPr/>
              <a:lstStyle/>
              <a:p>
                <a:pPr>
                  <a:defRPr sz="700">
                    <a:solidFill>
                      <a:schemeClr val="bg1"/>
                    </a:solidFill>
                  </a:defRPr>
                </a:pPr>
                <a:endParaRPr lang="fr-FR"/>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'4.3 Domestic product strati'!$H$38:$H$51</c:f>
              <c:strCache>
                <c:ptCount val="14"/>
                <c:pt idx="0">
                  <c:v>10S3</c:v>
                </c:pt>
                <c:pt idx="1">
                  <c:v>10S2</c:v>
                </c:pt>
                <c:pt idx="2">
                  <c:v>10PM11</c:v>
                </c:pt>
                <c:pt idx="3">
                  <c:v>10PM10</c:v>
                </c:pt>
                <c:pt idx="4">
                  <c:v>10PL3</c:v>
                </c:pt>
                <c:pt idx="5">
                  <c:v>10M15</c:v>
                </c:pt>
                <c:pt idx="6">
                  <c:v>10S1</c:v>
                </c:pt>
                <c:pt idx="7">
                  <c:v>10M14</c:v>
                </c:pt>
                <c:pt idx="8">
                  <c:v>10PRM10</c:v>
                </c:pt>
                <c:pt idx="9">
                  <c:v>10PL1</c:v>
                </c:pt>
                <c:pt idx="10">
                  <c:v>10PL2</c:v>
                </c:pt>
                <c:pt idx="11">
                  <c:v>10PM12</c:v>
                </c:pt>
                <c:pt idx="12">
                  <c:v>10M15S</c:v>
                </c:pt>
                <c:pt idx="13">
                  <c:v>10S5</c:v>
                </c:pt>
              </c:strCache>
            </c:strRef>
          </c:cat>
          <c:val>
            <c:numRef>
              <c:f>'4.3 Domestic product strati'!$J$38:$J$51</c:f>
              <c:numCache>
                <c:formatCode>_-* #\ ##0_-;\-* #\ ##0_-;_-* "-"??_-;_-@_-</c:formatCode>
                <c:ptCount val="14"/>
                <c:pt idx="0">
                  <c:v>183.35575333631138</c:v>
                </c:pt>
                <c:pt idx="1">
                  <c:v>158.83376973501731</c:v>
                </c:pt>
                <c:pt idx="2">
                  <c:v>220.84428188804796</c:v>
                </c:pt>
                <c:pt idx="3">
                  <c:v>142.73987072436404</c:v>
                </c:pt>
                <c:pt idx="4">
                  <c:v>155.20230161292923</c:v>
                </c:pt>
                <c:pt idx="5">
                  <c:v>354.9567972765862</c:v>
                </c:pt>
                <c:pt idx="6">
                  <c:v>127.06292847088477</c:v>
                </c:pt>
                <c:pt idx="7">
                  <c:v>322.2283823909832</c:v>
                </c:pt>
                <c:pt idx="8">
                  <c:v>150.50752632779074</c:v>
                </c:pt>
                <c:pt idx="9">
                  <c:v>115.13398414052152</c:v>
                </c:pt>
                <c:pt idx="10">
                  <c:v>137.06888743966368</c:v>
                </c:pt>
                <c:pt idx="11">
                  <c:v>247.7646257930935</c:v>
                </c:pt>
                <c:pt idx="12">
                  <c:v>409.3042391921831</c:v>
                </c:pt>
                <c:pt idx="13">
                  <c:v>249.30944023191233</c:v>
                </c:pt>
              </c:numCache>
            </c:numRef>
          </c:val>
          <c:smooth val="0"/>
          <c:extLst>
            <c:ext xmlns:c16="http://schemas.microsoft.com/office/drawing/2014/chart" uri="{C3380CC4-5D6E-409C-BE32-E72D297353CC}">
              <c16:uniqueId val="{00000001-5096-4EFC-9479-8B1F3A416418}"/>
            </c:ext>
          </c:extLst>
        </c:ser>
        <c:ser>
          <c:idx val="2"/>
          <c:order val="2"/>
          <c:tx>
            <c:strRef>
              <c:f>'4.3 Domestic product strati'!$K$37</c:f>
              <c:strCache>
                <c:ptCount val="1"/>
                <c:pt idx="0">
                  <c:v>Target avg. Net sales price p/u after Sep. increase (TND) </c:v>
                </c:pt>
              </c:strCache>
            </c:strRef>
          </c:tx>
          <c:marker>
            <c:symbol val="none"/>
          </c:marker>
          <c:dLbls>
            <c:spPr>
              <a:solidFill>
                <a:schemeClr val="tx1">
                  <a:lumMod val="65000"/>
                  <a:lumOff val="35000"/>
                </a:schemeClr>
              </a:solidFill>
            </c:spPr>
            <c:txPr>
              <a:bodyPr/>
              <a:lstStyle/>
              <a:p>
                <a:pPr>
                  <a:defRPr sz="700">
                    <a:solidFill>
                      <a:schemeClr val="bg1"/>
                    </a:solidFill>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'4.3 Domestic product strati'!$H$38:$H$51</c:f>
              <c:strCache>
                <c:ptCount val="14"/>
                <c:pt idx="0">
                  <c:v>10S3</c:v>
                </c:pt>
                <c:pt idx="1">
                  <c:v>10S2</c:v>
                </c:pt>
                <c:pt idx="2">
                  <c:v>10PM11</c:v>
                </c:pt>
                <c:pt idx="3">
                  <c:v>10PM10</c:v>
                </c:pt>
                <c:pt idx="4">
                  <c:v>10PL3</c:v>
                </c:pt>
                <c:pt idx="5">
                  <c:v>10M15</c:v>
                </c:pt>
                <c:pt idx="6">
                  <c:v>10S1</c:v>
                </c:pt>
                <c:pt idx="7">
                  <c:v>10M14</c:v>
                </c:pt>
                <c:pt idx="8">
                  <c:v>10PRM10</c:v>
                </c:pt>
                <c:pt idx="9">
                  <c:v>10PL1</c:v>
                </c:pt>
                <c:pt idx="10">
                  <c:v>10PL2</c:v>
                </c:pt>
                <c:pt idx="11">
                  <c:v>10PM12</c:v>
                </c:pt>
                <c:pt idx="12">
                  <c:v>10M15S</c:v>
                </c:pt>
                <c:pt idx="13">
                  <c:v>10S5</c:v>
                </c:pt>
              </c:strCache>
            </c:strRef>
          </c:cat>
          <c:val>
            <c:numRef>
              <c:f>'4.3 Domestic product strati'!$K$38:$K$51</c:f>
              <c:numCache>
                <c:formatCode>_-* #\ ##0_-;\-* #\ ##0_-;_-* "-"??_-;_-@_-</c:formatCode>
                <c:ptCount val="14"/>
                <c:pt idx="0">
                  <c:v>190.82300000000001</c:v>
                </c:pt>
                <c:pt idx="1">
                  <c:v>163.46899999999999</c:v>
                </c:pt>
                <c:pt idx="2">
                  <c:v>233.06299999999999</c:v>
                </c:pt>
                <c:pt idx="3">
                  <c:v>149.59</c:v>
                </c:pt>
                <c:pt idx="4">
                  <c:v>158.27000000000001</c:v>
                </c:pt>
                <c:pt idx="5">
                  <c:v>375.32499999999999</c:v>
                </c:pt>
                <c:pt idx="6">
                  <c:v>133.64599999999999</c:v>
                </c:pt>
                <c:pt idx="7">
                  <c:v>341.25400000000002</c:v>
                </c:pt>
                <c:pt idx="8">
                  <c:v>158.642</c:v>
                </c:pt>
                <c:pt idx="9">
                  <c:v>116.11799999999999</c:v>
                </c:pt>
                <c:pt idx="10">
                  <c:v>143.39599999999999</c:v>
                </c:pt>
                <c:pt idx="11">
                  <c:v>260.85500000000002</c:v>
                </c:pt>
                <c:pt idx="12">
                  <c:v>425.82900000000001</c:v>
                </c:pt>
                <c:pt idx="13">
                  <c:v>255.69499999999999</c:v>
                </c:pt>
              </c:numCache>
            </c:numRef>
          </c:val>
          <c:smooth val="0"/>
          <c:extLst>
            <c:ext xmlns:c16="http://schemas.microsoft.com/office/drawing/2014/chart" uri="{C3380CC4-5D6E-409C-BE32-E72D297353CC}">
              <c16:uniqueId val="{00000002-5096-4EFC-9479-8B1F3A416418}"/>
            </c:ext>
          </c:extLst>
        </c:ser>
        <c:dLbls>
          <c:showLegendKey val="0"/>
          <c:showVal val="0"/>
          <c:showCatName val="0"/>
          <c:showSerName val="0"/>
          <c:showPercent val="0"/>
          <c:showBubbleSize val="0"/>
        </c:dLbls>
        <c:marker val="1"/>
        <c:smooth val="0"/>
        <c:axId val="54258304"/>
        <c:axId val="54256768"/>
      </c:lineChart>
      <c:catAx>
        <c:axId val="54245248"/>
        <c:scaling>
          <c:orientation val="minMax"/>
        </c:scaling>
        <c:delete val="0"/>
        <c:axPos val="b"/>
        <c:numFmt formatCode="General" sourceLinked="1"/>
        <c:majorTickMark val="out"/>
        <c:minorTickMark val="none"/>
        <c:tickLblPos val="nextTo"/>
        <c:txPr>
          <a:bodyPr/>
          <a:lstStyle/>
          <a:p>
            <a:pPr>
              <a:defRPr sz="800" b="1"/>
            </a:pPr>
            <a:endParaRPr lang="fr-FR"/>
          </a:p>
        </c:txPr>
        <c:crossAx val="54246784"/>
        <c:crosses val="autoZero"/>
        <c:auto val="1"/>
        <c:lblAlgn val="ctr"/>
        <c:lblOffset val="100"/>
        <c:noMultiLvlLbl val="0"/>
      </c:catAx>
      <c:valAx>
        <c:axId val="54246784"/>
        <c:scaling>
          <c:orientation val="minMax"/>
          <c:max val="16000"/>
          <c:min val="0"/>
        </c:scaling>
        <c:delete val="0"/>
        <c:axPos val="l"/>
        <c:majorGridlines/>
        <c:numFmt formatCode="_-* #\ ##0_-;\-* #\ ##0_-;_-* &quot;-&quot;??_-;_-@_-" sourceLinked="1"/>
        <c:majorTickMark val="out"/>
        <c:minorTickMark val="none"/>
        <c:tickLblPos val="nextTo"/>
        <c:txPr>
          <a:bodyPr/>
          <a:lstStyle/>
          <a:p>
            <a:pPr>
              <a:defRPr sz="800"/>
            </a:pPr>
            <a:endParaRPr lang="fr-FR"/>
          </a:p>
        </c:txPr>
        <c:crossAx val="54245248"/>
        <c:crosses val="autoZero"/>
        <c:crossBetween val="between"/>
        <c:majorUnit val="2000"/>
      </c:valAx>
      <c:valAx>
        <c:axId val="54256768"/>
        <c:scaling>
          <c:orientation val="minMax"/>
        </c:scaling>
        <c:delete val="0"/>
        <c:axPos val="r"/>
        <c:numFmt formatCode="_-* #\ ##0_-;\-* #\ ##0_-;_-* &quot;-&quot;??_-;_-@_-" sourceLinked="1"/>
        <c:majorTickMark val="out"/>
        <c:minorTickMark val="none"/>
        <c:tickLblPos val="nextTo"/>
        <c:crossAx val="54258304"/>
        <c:crosses val="max"/>
        <c:crossBetween val="between"/>
      </c:valAx>
      <c:catAx>
        <c:axId val="54258304"/>
        <c:scaling>
          <c:orientation val="minMax"/>
        </c:scaling>
        <c:delete val="1"/>
        <c:axPos val="b"/>
        <c:numFmt formatCode="General" sourceLinked="1"/>
        <c:majorTickMark val="out"/>
        <c:minorTickMark val="none"/>
        <c:tickLblPos val="none"/>
        <c:crossAx val="54256768"/>
        <c:crosses val="autoZero"/>
        <c:auto val="1"/>
        <c:lblAlgn val="ctr"/>
        <c:lblOffset val="100"/>
        <c:noMultiLvlLbl val="0"/>
      </c:catAx>
      <c:spPr>
        <a:noFill/>
      </c:spPr>
    </c:plotArea>
    <c:legend>
      <c:legendPos val="r"/>
      <c:layout>
        <c:manualLayout>
          <c:xMode val="edge"/>
          <c:yMode val="edge"/>
          <c:x val="0.14428686141270025"/>
          <c:y val="0.8579135339107099"/>
          <c:w val="0.78943997206186345"/>
          <c:h val="0.12494259511472107"/>
        </c:manualLayout>
      </c:layout>
      <c:overlay val="0"/>
      <c:txPr>
        <a:bodyPr/>
        <a:lstStyle/>
        <a:p>
          <a:pPr>
            <a:defRPr b="1"/>
          </a:pPr>
          <a:endParaRPr lang="fr-FR"/>
        </a:p>
      </c:txPr>
    </c:legend>
    <c:plotVisOnly val="1"/>
    <c:dispBlanksAs val="gap"/>
    <c:showDLblsOverMax val="0"/>
  </c:chart>
  <c:spPr>
    <a:noFill/>
    <a:ln>
      <a:noFill/>
    </a:ln>
  </c:spPr>
  <c:printSettings>
    <c:headerFooter/>
    <c:pageMargins b="0.75000000000000089" l="0.70000000000000062" r="0.70000000000000062" t="0.75000000000000089" header="0.30000000000000032" footer="0.30000000000000032"/>
    <c:pageSetup/>
  </c:printSettings>
</c:chartSpace>
</file>

<file path=xl/charts/chart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solidFill>
                  <a:sysClr val="windowText" lastClr="000000"/>
                </a:solidFill>
              </a:defRPr>
            </a:pPr>
            <a:r>
              <a:rPr lang="en-GB" sz="1200">
                <a:solidFill>
                  <a:sysClr val="windowText" lastClr="000000"/>
                </a:solidFill>
              </a:rPr>
              <a:t>Net Working Capital Bridge, EUR</a:t>
            </a:r>
          </a:p>
        </c:rich>
      </c:tx>
      <c:overlay val="1"/>
    </c:title>
    <c:autoTitleDeleted val="0"/>
    <c:plotArea>
      <c:layout>
        <c:manualLayout>
          <c:layoutTarget val="inner"/>
          <c:xMode val="edge"/>
          <c:yMode val="edge"/>
          <c:x val="5.2369758904849711E-2"/>
          <c:y val="0.21560274055833398"/>
          <c:w val="0.91707464428806584"/>
          <c:h val="0.64801892086048163"/>
        </c:manualLayout>
      </c:layout>
      <c:barChart>
        <c:barDir val="col"/>
        <c:grouping val="stacked"/>
        <c:varyColors val="0"/>
        <c:ser>
          <c:idx val="0"/>
          <c:order val="0"/>
          <c:tx>
            <c:strRef>
              <c:f>'5.1 Corp. liquidity - WC Br SEP'!$D$46</c:f>
              <c:strCache>
                <c:ptCount val="1"/>
                <c:pt idx="0">
                  <c:v>Ends</c:v>
                </c:pt>
              </c:strCache>
            </c:strRef>
          </c:tx>
          <c:spPr>
            <a:solidFill>
              <a:srgbClr val="002060"/>
            </a:solidFill>
            <a:ln>
              <a:solidFill>
                <a:srgbClr val="FF0000"/>
              </a:solidFill>
            </a:ln>
          </c:spPr>
          <c:invertIfNegative val="0"/>
          <c:dPt>
            <c:idx val="0"/>
            <c:invertIfNegative val="0"/>
            <c:bubble3D val="0"/>
            <c:spPr>
              <a:solidFill>
                <a:srgbClr val="002060"/>
              </a:solidFill>
              <a:ln w="38100">
                <a:solidFill>
                  <a:srgbClr val="FF0000"/>
                </a:solidFill>
              </a:ln>
            </c:spPr>
            <c:extLst>
              <c:ext xmlns:c16="http://schemas.microsoft.com/office/drawing/2014/chart" uri="{C3380CC4-5D6E-409C-BE32-E72D297353CC}">
                <c16:uniqueId val="{00000001-28E3-4BBE-BC02-614B5292FFE8}"/>
              </c:ext>
            </c:extLst>
          </c:dPt>
          <c:dPt>
            <c:idx val="4"/>
            <c:invertIfNegative val="0"/>
            <c:bubble3D val="0"/>
            <c:spPr>
              <a:solidFill>
                <a:srgbClr val="002060"/>
              </a:solidFill>
              <a:ln w="34925">
                <a:solidFill>
                  <a:srgbClr val="FF0000"/>
                </a:solidFill>
              </a:ln>
            </c:spPr>
            <c:extLst>
              <c:ext xmlns:c16="http://schemas.microsoft.com/office/drawing/2014/chart" uri="{C3380CC4-5D6E-409C-BE32-E72D297353CC}">
                <c16:uniqueId val="{00000003-28E3-4BBE-BC02-614B5292FFE8}"/>
              </c:ext>
            </c:extLst>
          </c:dPt>
          <c:dLbls>
            <c:dLbl>
              <c:idx val="0"/>
              <c:spPr/>
              <c:txPr>
                <a:bodyPr/>
                <a:lstStyle/>
                <a:p>
                  <a:pPr>
                    <a:defRPr sz="1200" b="1">
                      <a:solidFill>
                        <a:schemeClr val="bg1"/>
                      </a:solidFill>
                    </a:defRPr>
                  </a:pPr>
                  <a:endParaRPr lang="fr-FR"/>
                </a:p>
              </c:txPr>
              <c:showLegendKey val="0"/>
              <c:showVal val="1"/>
              <c:showCatName val="0"/>
              <c:showSerName val="0"/>
              <c:showPercent val="0"/>
              <c:showBubbleSize val="0"/>
              <c:extLst>
                <c:ext xmlns:c16="http://schemas.microsoft.com/office/drawing/2014/chart" uri="{C3380CC4-5D6E-409C-BE32-E72D297353CC}">
                  <c16:uniqueId val="{00000001-28E3-4BBE-BC02-614B5292FFE8}"/>
                </c:ext>
              </c:extLst>
            </c:dLbl>
            <c:spPr>
              <a:noFill/>
              <a:ln>
                <a:noFill/>
              </a:ln>
              <a:effectLst/>
            </c:spPr>
            <c:txPr>
              <a:bodyPr/>
              <a:lstStyle/>
              <a:p>
                <a:pPr>
                  <a:defRPr sz="1200" b="1">
                    <a:solidFill>
                      <a:schemeClr val="bg1"/>
                    </a:solidFill>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'5.1 Corp. liquidity - WC Br SEP'!$B$47:$B$51</c:f>
              <c:strCache>
                <c:ptCount val="5"/>
                <c:pt idx="0">
                  <c:v>WC, Dec'21</c:v>
                </c:pt>
                <c:pt idx="1">
                  <c:v>AR</c:v>
                </c:pt>
                <c:pt idx="2">
                  <c:v>Inventory</c:v>
                </c:pt>
                <c:pt idx="3">
                  <c:v>AP</c:v>
                </c:pt>
                <c:pt idx="4">
                  <c:v>WC, Sep'22</c:v>
                </c:pt>
              </c:strCache>
            </c:strRef>
          </c:cat>
          <c:val>
            <c:numRef>
              <c:f>'5.1 Corp. liquidity - WC Br SEP'!$D$47:$D$51</c:f>
              <c:numCache>
                <c:formatCode>_-* #\ ##0_-;\-* #\ ##0_-;_-* "-"??_-;_-@_-</c:formatCode>
                <c:ptCount val="5"/>
                <c:pt idx="0">
                  <c:v>7096.9104670986999</c:v>
                </c:pt>
                <c:pt idx="4">
                  <c:v>10441.803430109901</c:v>
                </c:pt>
              </c:numCache>
            </c:numRef>
          </c:val>
          <c:extLst>
            <c:ext xmlns:c16="http://schemas.microsoft.com/office/drawing/2014/chart" uri="{C3380CC4-5D6E-409C-BE32-E72D297353CC}">
              <c16:uniqueId val="{00000004-28E3-4BBE-BC02-614B5292FFE8}"/>
            </c:ext>
          </c:extLst>
        </c:ser>
        <c:ser>
          <c:idx val="1"/>
          <c:order val="1"/>
          <c:tx>
            <c:strRef>
              <c:f>'5.1 Corp. liquidity - WC Br SEP'!$E$46</c:f>
              <c:strCache>
                <c:ptCount val="1"/>
                <c:pt idx="0">
                  <c:v>Blank</c:v>
                </c:pt>
              </c:strCache>
            </c:strRef>
          </c:tx>
          <c:spPr>
            <a:noFill/>
          </c:spPr>
          <c:invertIfNegative val="0"/>
          <c:cat>
            <c:strRef>
              <c:f>'5.1 Corp. liquidity - WC Br SEP'!$B$47:$B$51</c:f>
              <c:strCache>
                <c:ptCount val="5"/>
                <c:pt idx="0">
                  <c:v>WC, Dec'21</c:v>
                </c:pt>
                <c:pt idx="1">
                  <c:v>AR</c:v>
                </c:pt>
                <c:pt idx="2">
                  <c:v>Inventory</c:v>
                </c:pt>
                <c:pt idx="3">
                  <c:v>AP</c:v>
                </c:pt>
                <c:pt idx="4">
                  <c:v>WC, Sep'22</c:v>
                </c:pt>
              </c:strCache>
            </c:strRef>
          </c:cat>
          <c:val>
            <c:numRef>
              <c:f>'5.1 Corp. liquidity - WC Br SEP'!$E$47:$E$51</c:f>
              <c:numCache>
                <c:formatCode>_-* #\ ##0_-;\-* #\ ##0_-;_-* "-"??_-;_-@_-</c:formatCode>
                <c:ptCount val="5"/>
                <c:pt idx="1">
                  <c:v>7096.9104670986999</c:v>
                </c:pt>
                <c:pt idx="2">
                  <c:v>8422.4800251678644</c:v>
                </c:pt>
                <c:pt idx="3">
                  <c:v>9606.4269825789852</c:v>
                </c:pt>
              </c:numCache>
            </c:numRef>
          </c:val>
          <c:extLst>
            <c:ext xmlns:c16="http://schemas.microsoft.com/office/drawing/2014/chart" uri="{C3380CC4-5D6E-409C-BE32-E72D297353CC}">
              <c16:uniqueId val="{00000005-28E3-4BBE-BC02-614B5292FFE8}"/>
            </c:ext>
          </c:extLst>
        </c:ser>
        <c:ser>
          <c:idx val="2"/>
          <c:order val="2"/>
          <c:tx>
            <c:strRef>
              <c:f>'5.1 Corp. liquidity - WC Br SEP'!$F$46</c:f>
              <c:strCache>
                <c:ptCount val="1"/>
                <c:pt idx="0">
                  <c:v>Up</c:v>
                </c:pt>
              </c:strCache>
            </c:strRef>
          </c:tx>
          <c:invertIfNegative val="0"/>
          <c:dPt>
            <c:idx val="1"/>
            <c:invertIfNegative val="0"/>
            <c:bubble3D val="0"/>
            <c:spPr>
              <a:solidFill>
                <a:schemeClr val="tx1">
                  <a:lumMod val="75000"/>
                  <a:lumOff val="25000"/>
                </a:schemeClr>
              </a:solidFill>
            </c:spPr>
            <c:extLst>
              <c:ext xmlns:c16="http://schemas.microsoft.com/office/drawing/2014/chart" uri="{C3380CC4-5D6E-409C-BE32-E72D297353CC}">
                <c16:uniqueId val="{00000007-28E3-4BBE-BC02-614B5292FFE8}"/>
              </c:ext>
            </c:extLst>
          </c:dPt>
          <c:dPt>
            <c:idx val="2"/>
            <c:invertIfNegative val="0"/>
            <c:bubble3D val="0"/>
            <c:spPr>
              <a:solidFill>
                <a:schemeClr val="tx1">
                  <a:lumMod val="50000"/>
                  <a:lumOff val="50000"/>
                </a:schemeClr>
              </a:solidFill>
            </c:spPr>
            <c:extLst>
              <c:ext xmlns:c16="http://schemas.microsoft.com/office/drawing/2014/chart" uri="{C3380CC4-5D6E-409C-BE32-E72D297353CC}">
                <c16:uniqueId val="{00000009-28E3-4BBE-BC02-614B5292FFE8}"/>
              </c:ext>
            </c:extLst>
          </c:dPt>
          <c:dPt>
            <c:idx val="4"/>
            <c:invertIfNegative val="0"/>
            <c:bubble3D val="0"/>
            <c:spPr>
              <a:solidFill>
                <a:srgbClr val="008000"/>
              </a:solidFill>
            </c:spPr>
            <c:extLst>
              <c:ext xmlns:c16="http://schemas.microsoft.com/office/drawing/2014/chart" uri="{C3380CC4-5D6E-409C-BE32-E72D297353CC}">
                <c16:uniqueId val="{0000000B-28E3-4BBE-BC02-614B5292FFE8}"/>
              </c:ext>
            </c:extLst>
          </c:dPt>
          <c:dLbls>
            <c:dLbl>
              <c:idx val="1"/>
              <c:spPr/>
              <c:txPr>
                <a:bodyPr/>
                <a:lstStyle/>
                <a:p>
                  <a:pPr>
                    <a:defRPr b="1">
                      <a:solidFill>
                        <a:schemeClr val="bg1"/>
                      </a:solidFill>
                    </a:defRPr>
                  </a:pPr>
                  <a:endParaRPr lang="fr-FR"/>
                </a:p>
              </c:txPr>
              <c:showLegendKey val="0"/>
              <c:showVal val="1"/>
              <c:showCatName val="0"/>
              <c:showSerName val="0"/>
              <c:showPercent val="0"/>
              <c:showBubbleSize val="0"/>
              <c:extLst>
                <c:ext xmlns:c16="http://schemas.microsoft.com/office/drawing/2014/chart" uri="{C3380CC4-5D6E-409C-BE32-E72D297353CC}">
                  <c16:uniqueId val="{00000007-28E3-4BBE-BC02-614B5292FFE8}"/>
                </c:ext>
              </c:extLst>
            </c:dLbl>
            <c:dLbl>
              <c:idx val="2"/>
              <c:spPr/>
              <c:txPr>
                <a:bodyPr/>
                <a:lstStyle/>
                <a:p>
                  <a:pPr>
                    <a:defRPr b="1">
                      <a:solidFill>
                        <a:schemeClr val="bg1"/>
                      </a:solidFill>
                    </a:defRPr>
                  </a:pPr>
                  <a:endParaRPr lang="fr-FR"/>
                </a:p>
              </c:txPr>
              <c:showLegendKey val="0"/>
              <c:showVal val="1"/>
              <c:showCatName val="0"/>
              <c:showSerName val="0"/>
              <c:showPercent val="0"/>
              <c:showBubbleSize val="0"/>
              <c:extLst>
                <c:ext xmlns:c16="http://schemas.microsoft.com/office/drawing/2014/chart" uri="{C3380CC4-5D6E-409C-BE32-E72D297353CC}">
                  <c16:uniqueId val="{00000009-28E3-4BBE-BC02-614B5292FFE8}"/>
                </c:ext>
              </c:extLst>
            </c:dLbl>
            <c:dLbl>
              <c:idx val="4"/>
              <c:spPr/>
              <c:txPr>
                <a:bodyPr/>
                <a:lstStyle/>
                <a:p>
                  <a:pPr>
                    <a:defRPr b="1">
                      <a:solidFill>
                        <a:schemeClr val="bg1"/>
                      </a:solidFill>
                    </a:defRPr>
                  </a:pPr>
                  <a:endParaRPr lang="fr-FR"/>
                </a:p>
              </c:txPr>
              <c:showLegendKey val="0"/>
              <c:showVal val="1"/>
              <c:showCatName val="0"/>
              <c:showSerName val="0"/>
              <c:showPercent val="0"/>
              <c:showBubbleSize val="0"/>
              <c:extLst>
                <c:ext xmlns:c16="http://schemas.microsoft.com/office/drawing/2014/chart" uri="{C3380CC4-5D6E-409C-BE32-E72D297353CC}">
                  <c16:uniqueId val="{0000000B-28E3-4BBE-BC02-614B5292FFE8}"/>
                </c:ext>
              </c:extLst>
            </c:dLbl>
            <c:dLbl>
              <c:idx val="5"/>
              <c:delete val="1"/>
              <c:extLst>
                <c:ext xmlns:c15="http://schemas.microsoft.com/office/drawing/2012/chart" uri="{CE6537A1-D6FC-4f65-9D91-7224C49458BB}"/>
                <c:ext xmlns:c16="http://schemas.microsoft.com/office/drawing/2014/chart" uri="{C3380CC4-5D6E-409C-BE32-E72D297353CC}">
                  <c16:uniqueId val="{0000000D-28E3-4BBE-BC02-614B5292FFE8}"/>
                </c:ext>
              </c:extLst>
            </c:dLbl>
            <c:spPr>
              <a:noFill/>
              <a:ln>
                <a:noFill/>
              </a:ln>
              <a:effectLst/>
            </c:spPr>
            <c:txPr>
              <a:bodyPr/>
              <a:lstStyle/>
              <a:p>
                <a:pPr>
                  <a:defRPr b="1">
                    <a:solidFill>
                      <a:schemeClr val="bg1"/>
                    </a:solidFill>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'5.1 Corp. liquidity - WC Br SEP'!$B$47:$B$51</c:f>
              <c:strCache>
                <c:ptCount val="5"/>
                <c:pt idx="0">
                  <c:v>WC, Dec'21</c:v>
                </c:pt>
                <c:pt idx="1">
                  <c:v>AR</c:v>
                </c:pt>
                <c:pt idx="2">
                  <c:v>Inventory</c:v>
                </c:pt>
                <c:pt idx="3">
                  <c:v>AP</c:v>
                </c:pt>
                <c:pt idx="4">
                  <c:v>WC, Sep'22</c:v>
                </c:pt>
              </c:strCache>
            </c:strRef>
          </c:cat>
          <c:val>
            <c:numRef>
              <c:f>'5.1 Corp. liquidity - WC Br SEP'!$F$47:$F$51</c:f>
              <c:numCache>
                <c:formatCode>_-* #\ ##0_-;\-* #\ ##0_-;_-* "-"??_-;_-@_-</c:formatCode>
                <c:ptCount val="5"/>
                <c:pt idx="1">
                  <c:v>1325.5695580691636</c:v>
                </c:pt>
                <c:pt idx="2">
                  <c:v>1183.9469574111208</c:v>
                </c:pt>
                <c:pt idx="3">
                  <c:v>835.37644753091843</c:v>
                </c:pt>
              </c:numCache>
            </c:numRef>
          </c:val>
          <c:extLst>
            <c:ext xmlns:c16="http://schemas.microsoft.com/office/drawing/2014/chart" uri="{C3380CC4-5D6E-409C-BE32-E72D297353CC}">
              <c16:uniqueId val="{0000000E-28E3-4BBE-BC02-614B5292FFE8}"/>
            </c:ext>
          </c:extLst>
        </c:ser>
        <c:ser>
          <c:idx val="3"/>
          <c:order val="3"/>
          <c:tx>
            <c:strRef>
              <c:f>'5.1 Corp. liquidity - WC Br SEP'!$G$46</c:f>
              <c:strCache>
                <c:ptCount val="1"/>
                <c:pt idx="0">
                  <c:v>Down</c:v>
                </c:pt>
              </c:strCache>
            </c:strRef>
          </c:tx>
          <c:spPr>
            <a:solidFill>
              <a:schemeClr val="bg1">
                <a:lumMod val="75000"/>
              </a:schemeClr>
            </a:solidFill>
          </c:spPr>
          <c:invertIfNegative val="0"/>
          <c:cat>
            <c:strRef>
              <c:f>'5.1 Corp. liquidity - WC Br SEP'!$B$47:$B$51</c:f>
              <c:strCache>
                <c:ptCount val="5"/>
                <c:pt idx="0">
                  <c:v>WC, Dec'21</c:v>
                </c:pt>
                <c:pt idx="1">
                  <c:v>AR</c:v>
                </c:pt>
                <c:pt idx="2">
                  <c:v>Inventory</c:v>
                </c:pt>
                <c:pt idx="3">
                  <c:v>AP</c:v>
                </c:pt>
                <c:pt idx="4">
                  <c:v>WC, Sep'22</c:v>
                </c:pt>
              </c:strCache>
            </c:strRef>
          </c:cat>
          <c:val>
            <c:numRef>
              <c:f>'5.1 Corp. liquidity - WC Br SEP'!$G$47:$G$51</c:f>
              <c:numCache>
                <c:formatCode>_-* #\ ##0_-;\-* #\ ##0_-;_-* "-"??_-;_-@_-</c:formatCode>
                <c:ptCount val="5"/>
                <c:pt idx="1">
                  <c:v>0</c:v>
                </c:pt>
                <c:pt idx="2">
                  <c:v>0</c:v>
                </c:pt>
                <c:pt idx="3">
                  <c:v>0</c:v>
                </c:pt>
              </c:numCache>
            </c:numRef>
          </c:val>
          <c:extLst>
            <c:ext xmlns:c16="http://schemas.microsoft.com/office/drawing/2014/chart" uri="{C3380CC4-5D6E-409C-BE32-E72D297353CC}">
              <c16:uniqueId val="{00000012-28E3-4BBE-BC02-614B5292FFE8}"/>
            </c:ext>
          </c:extLst>
        </c:ser>
        <c:dLbls>
          <c:showLegendKey val="0"/>
          <c:showVal val="0"/>
          <c:showCatName val="0"/>
          <c:showSerName val="0"/>
          <c:showPercent val="0"/>
          <c:showBubbleSize val="0"/>
        </c:dLbls>
        <c:gapWidth val="7"/>
        <c:overlap val="100"/>
        <c:axId val="51597696"/>
        <c:axId val="51599232"/>
      </c:barChart>
      <c:catAx>
        <c:axId val="51597696"/>
        <c:scaling>
          <c:orientation val="minMax"/>
        </c:scaling>
        <c:delete val="0"/>
        <c:axPos val="b"/>
        <c:numFmt formatCode="General" sourceLinked="1"/>
        <c:majorTickMark val="out"/>
        <c:minorTickMark val="none"/>
        <c:tickLblPos val="nextTo"/>
        <c:txPr>
          <a:bodyPr/>
          <a:lstStyle/>
          <a:p>
            <a:pPr>
              <a:defRPr b="1"/>
            </a:pPr>
            <a:endParaRPr lang="fr-FR"/>
          </a:p>
        </c:txPr>
        <c:crossAx val="51599232"/>
        <c:crosses val="autoZero"/>
        <c:auto val="1"/>
        <c:lblAlgn val="ctr"/>
        <c:lblOffset val="100"/>
        <c:noMultiLvlLbl val="0"/>
      </c:catAx>
      <c:valAx>
        <c:axId val="51599232"/>
        <c:scaling>
          <c:orientation val="minMax"/>
          <c:max val="11000"/>
          <c:min val="5000"/>
        </c:scaling>
        <c:delete val="0"/>
        <c:axPos val="l"/>
        <c:majorGridlines/>
        <c:numFmt formatCode="_-* #\ ##0_-;\-* #\ ##0_-;_-* &quot;-&quot;??_-;_-@_-" sourceLinked="1"/>
        <c:majorTickMark val="out"/>
        <c:minorTickMark val="none"/>
        <c:tickLblPos val="nextTo"/>
        <c:crossAx val="51597696"/>
        <c:crosses val="autoZero"/>
        <c:crossBetween val="between"/>
        <c:majorUnit val="1000"/>
      </c:valAx>
      <c:spPr>
        <a:noFill/>
      </c:spPr>
    </c:plotArea>
    <c:plotVisOnly val="1"/>
    <c:dispBlanksAs val="gap"/>
    <c:showDLblsOverMax val="0"/>
  </c:chart>
  <c:spPr>
    <a:noFill/>
  </c:spPr>
  <c:printSettings>
    <c:headerFooter/>
    <c:pageMargins b="0.75000000000000211" l="0.70000000000000062" r="0.70000000000000062" t="0.75000000000000211" header="0.30000000000000032" footer="0.30000000000000032"/>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7"/>
    </mc:Choice>
    <mc:Fallback>
      <c:style val="7"/>
    </mc:Fallback>
  </mc:AlternateContent>
  <c:chart>
    <c:title>
      <c:tx>
        <c:rich>
          <a:bodyPr/>
          <a:lstStyle/>
          <a:p>
            <a:pPr>
              <a:defRPr sz="1200"/>
            </a:pPr>
            <a:r>
              <a:rPr lang="en-US"/>
              <a:t>AR, Sep'22</a:t>
            </a:r>
          </a:p>
        </c:rich>
      </c:tx>
      <c:layout>
        <c:manualLayout>
          <c:xMode val="edge"/>
          <c:yMode val="edge"/>
          <c:x val="1.3888888888888897E-2"/>
          <c:y val="2.7777777777777801E-2"/>
        </c:manualLayout>
      </c:layout>
      <c:overlay val="0"/>
    </c:title>
    <c:autoTitleDeleted val="0"/>
    <c:plotArea>
      <c:layout>
        <c:manualLayout>
          <c:layoutTarget val="inner"/>
          <c:xMode val="edge"/>
          <c:yMode val="edge"/>
          <c:x val="0.14794794400699926"/>
          <c:y val="0.1050925925925926"/>
          <c:w val="0.52027777777777751"/>
          <c:h val="0.86712962962962992"/>
        </c:manualLayout>
      </c:layout>
      <c:pieChart>
        <c:varyColors val="1"/>
        <c:ser>
          <c:idx val="0"/>
          <c:order val="0"/>
          <c:tx>
            <c:strRef>
              <c:f>'5.1 Corp. liquidity - WC Br SEP'!$K$45</c:f>
              <c:strCache>
                <c:ptCount val="1"/>
                <c:pt idx="0">
                  <c:v>AR</c:v>
                </c:pt>
              </c:strCache>
            </c:strRef>
          </c:tx>
          <c:dPt>
            <c:idx val="1"/>
            <c:bubble3D val="0"/>
            <c:spPr>
              <a:solidFill>
                <a:schemeClr val="accent4">
                  <a:lumMod val="60000"/>
                  <a:lumOff val="40000"/>
                </a:schemeClr>
              </a:solidFill>
            </c:spPr>
            <c:extLst>
              <c:ext xmlns:c16="http://schemas.microsoft.com/office/drawing/2014/chart" uri="{C3380CC4-5D6E-409C-BE32-E72D297353CC}">
                <c16:uniqueId val="{00000001-87B9-44B4-9808-FC7CA79F0607}"/>
              </c:ext>
            </c:extLst>
          </c:dPt>
          <c:dLbls>
            <c:dLbl>
              <c:idx val="0"/>
              <c:spPr/>
              <c:txPr>
                <a:bodyPr/>
                <a:lstStyle/>
                <a:p>
                  <a:pPr>
                    <a:defRPr sz="1200" b="1">
                      <a:solidFill>
                        <a:schemeClr val="bg1"/>
                      </a:solidFill>
                    </a:defRPr>
                  </a:pPr>
                  <a:endParaRPr lang="fr-FR"/>
                </a:p>
              </c:txPr>
              <c:showLegendKey val="0"/>
              <c:showVal val="1"/>
              <c:showCatName val="0"/>
              <c:showSerName val="0"/>
              <c:showPercent val="0"/>
              <c:showBubbleSize val="0"/>
              <c:extLst>
                <c:ext xmlns:c16="http://schemas.microsoft.com/office/drawing/2014/chart" uri="{C3380CC4-5D6E-409C-BE32-E72D297353CC}">
                  <c16:uniqueId val="{00000000-87B9-44B4-9808-FC7CA79F0607}"/>
                </c:ext>
              </c:extLst>
            </c:dLbl>
            <c:dLbl>
              <c:idx val="1"/>
              <c:spPr/>
              <c:txPr>
                <a:bodyPr/>
                <a:lstStyle/>
                <a:p>
                  <a:pPr>
                    <a:defRPr sz="1200" b="1">
                      <a:solidFill>
                        <a:schemeClr val="bg1"/>
                      </a:solidFill>
                    </a:defRPr>
                  </a:pPr>
                  <a:endParaRPr lang="fr-FR"/>
                </a:p>
              </c:txPr>
              <c:showLegendKey val="0"/>
              <c:showVal val="1"/>
              <c:showCatName val="0"/>
              <c:showSerName val="0"/>
              <c:showPercent val="0"/>
              <c:showBubbleSize val="0"/>
              <c:extLst>
                <c:ext xmlns:c16="http://schemas.microsoft.com/office/drawing/2014/chart" uri="{C3380CC4-5D6E-409C-BE32-E72D297353CC}">
                  <c16:uniqueId val="{00000001-87B9-44B4-9808-FC7CA79F0607}"/>
                </c:ext>
              </c:extLst>
            </c:dLbl>
            <c:dLbl>
              <c:idx val="2"/>
              <c:tx>
                <c:rich>
                  <a:bodyPr/>
                  <a:lstStyle/>
                  <a:p>
                    <a:pPr>
                      <a:defRPr sz="1200" b="1">
                        <a:solidFill>
                          <a:schemeClr val="bg1"/>
                        </a:solidFill>
                      </a:defRPr>
                    </a:pPr>
                    <a:fld id="{36098888-E92C-4445-8093-6F3F3F7B62DE}" type="VALUE">
                      <a:rPr lang="en-US">
                        <a:solidFill>
                          <a:sysClr val="windowText" lastClr="000000"/>
                        </a:solidFill>
                      </a:rPr>
                      <a:pPr>
                        <a:defRPr sz="1200" b="1">
                          <a:solidFill>
                            <a:schemeClr val="bg1"/>
                          </a:solidFill>
                        </a:defRPr>
                      </a:pPr>
                      <a:t>[VALEUR]</a:t>
                    </a:fld>
                    <a:endParaRPr lang="fr-FR"/>
                  </a:p>
                </c:rich>
              </c:tx>
              <c:spPr/>
              <c:showLegendKey val="0"/>
              <c:showVal val="1"/>
              <c:showCatName val="0"/>
              <c:showSerName val="0"/>
              <c:showPercent val="0"/>
              <c:showBubbleSize val="0"/>
              <c:extLst>
                <c:ext xmlns:c15="http://schemas.microsoft.com/office/drawing/2012/chart" uri="{CE6537A1-D6FC-4f65-9D91-7224C49458BB}">
                  <c15:dlblFieldTable/>
                  <c15:showDataLabelsRange val="0"/>
                </c:ext>
                <c:ext xmlns:c16="http://schemas.microsoft.com/office/drawing/2014/chart" uri="{C3380CC4-5D6E-409C-BE32-E72D297353CC}">
                  <c16:uniqueId val="{00000002-87B9-44B4-9808-FC7CA79F0607}"/>
                </c:ext>
              </c:extLst>
            </c:dLbl>
            <c:dLbl>
              <c:idx val="3"/>
              <c:spPr/>
              <c:txPr>
                <a:bodyPr/>
                <a:lstStyle/>
                <a:p>
                  <a:pPr>
                    <a:defRPr sz="1200" b="1">
                      <a:solidFill>
                        <a:schemeClr val="bg1"/>
                      </a:solidFill>
                    </a:defRPr>
                  </a:pPr>
                  <a:endParaRPr lang="fr-FR"/>
                </a:p>
              </c:txPr>
              <c:showLegendKey val="0"/>
              <c:showVal val="1"/>
              <c:showCatName val="0"/>
              <c:showSerName val="0"/>
              <c:showPercent val="0"/>
              <c:showBubbleSize val="0"/>
              <c:extLst>
                <c:ext xmlns:c16="http://schemas.microsoft.com/office/drawing/2014/chart" uri="{C3380CC4-5D6E-409C-BE32-E72D297353CC}">
                  <c16:uniqueId val="{00000003-87B9-44B4-9808-FC7CA79F0607}"/>
                </c:ext>
              </c:extLst>
            </c:dLbl>
            <c:spPr>
              <a:noFill/>
              <a:ln>
                <a:noFill/>
              </a:ln>
              <a:effectLst/>
            </c:spPr>
            <c:txPr>
              <a:bodyPr/>
              <a:lstStyle/>
              <a:p>
                <a:pPr>
                  <a:defRPr sz="1200" b="1"/>
                </a:pPr>
                <a:endParaRPr lang="fr-FR"/>
              </a:p>
            </c:txPr>
            <c:showLegendKey val="0"/>
            <c:showVal val="1"/>
            <c:showCatName val="0"/>
            <c:showSerName val="0"/>
            <c:showPercent val="0"/>
            <c:showBubbleSize val="0"/>
            <c:showLeaderLines val="1"/>
            <c:extLst>
              <c:ext xmlns:c15="http://schemas.microsoft.com/office/drawing/2012/chart" uri="{CE6537A1-D6FC-4f65-9D91-7224C49458BB}"/>
            </c:extLst>
          </c:dLbls>
          <c:cat>
            <c:strRef>
              <c:f>'5.1 Corp. liquidity - WC Br SEP'!$J$46:$J$48</c:f>
              <c:strCache>
                <c:ptCount val="3"/>
                <c:pt idx="0">
                  <c:v>SNA</c:v>
                </c:pt>
                <c:pt idx="1">
                  <c:v>SND</c:v>
                </c:pt>
                <c:pt idx="2">
                  <c:v>SNR</c:v>
                </c:pt>
              </c:strCache>
            </c:strRef>
          </c:cat>
          <c:val>
            <c:numRef>
              <c:f>'5.1 Corp. liquidity - WC Br SEP'!$K$46:$K$48</c:f>
              <c:numCache>
                <c:formatCode>_-* #\ ##0_-;\-* #\ ##0_-;_-* "-"??_-;_-@_-</c:formatCode>
                <c:ptCount val="3"/>
                <c:pt idx="0">
                  <c:v>765.3301381738188</c:v>
                </c:pt>
                <c:pt idx="1">
                  <c:v>5198.4417501188518</c:v>
                </c:pt>
                <c:pt idx="2" formatCode="General">
                  <c:v>0</c:v>
                </c:pt>
              </c:numCache>
            </c:numRef>
          </c:val>
          <c:extLst>
            <c:ext xmlns:c16="http://schemas.microsoft.com/office/drawing/2014/chart" uri="{C3380CC4-5D6E-409C-BE32-E72D297353CC}">
              <c16:uniqueId val="{00000004-87B9-44B4-9808-FC7CA79F0607}"/>
            </c:ext>
          </c:extLst>
        </c:ser>
        <c:dLbls>
          <c:showLegendKey val="0"/>
          <c:showVal val="0"/>
          <c:showCatName val="0"/>
          <c:showSerName val="0"/>
          <c:showPercent val="0"/>
          <c:showBubbleSize val="0"/>
          <c:showLeaderLines val="1"/>
        </c:dLbls>
        <c:firstSliceAng val="0"/>
      </c:pieChart>
    </c:plotArea>
    <c:legend>
      <c:legendPos val="r"/>
      <c:layout>
        <c:manualLayout>
          <c:xMode val="edge"/>
          <c:yMode val="edge"/>
          <c:x val="2.172922134733158E-2"/>
          <c:y val="0.22961614173228348"/>
          <c:w val="0.11210452711831009"/>
          <c:h val="0.71080431380411602"/>
        </c:manualLayout>
      </c:layout>
      <c:overlay val="0"/>
      <c:txPr>
        <a:bodyPr/>
        <a:lstStyle/>
        <a:p>
          <a:pPr>
            <a:defRPr b="1"/>
          </a:pPr>
          <a:endParaRPr lang="fr-FR"/>
        </a:p>
      </c:txPr>
    </c:legend>
    <c:plotVisOnly val="1"/>
    <c:dispBlanksAs val="gap"/>
    <c:showDLblsOverMax val="0"/>
  </c:chart>
  <c:spPr>
    <a:noFill/>
    <a:ln>
      <a:noFill/>
    </a:ln>
  </c:spPr>
  <c:printSettings>
    <c:headerFooter/>
    <c:pageMargins b="0.75000000000000022" l="0.70000000000000018" r="0.70000000000000018" t="0.75000000000000022" header="0.3000000000000001" footer="0.3000000000000001"/>
    <c:pageSetup/>
  </c:printSettings>
</c:chartSpace>
</file>

<file path=xl/charts/chart2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7"/>
    </mc:Choice>
    <mc:Fallback>
      <c:style val="7"/>
    </mc:Fallback>
  </mc:AlternateContent>
  <c:chart>
    <c:title>
      <c:tx>
        <c:rich>
          <a:bodyPr/>
          <a:lstStyle/>
          <a:p>
            <a:pPr>
              <a:defRPr sz="1200"/>
            </a:pPr>
            <a:r>
              <a:rPr lang="en-GB"/>
              <a:t>Inventory,</a:t>
            </a:r>
            <a:r>
              <a:rPr lang="en-GB" baseline="0"/>
              <a:t> Sep'22</a:t>
            </a:r>
            <a:endParaRPr lang="en-GB"/>
          </a:p>
        </c:rich>
      </c:tx>
      <c:layout>
        <c:manualLayout>
          <c:xMode val="edge"/>
          <c:yMode val="edge"/>
          <c:x val="1.3888888888888904E-2"/>
          <c:y val="2.7777777777777821E-2"/>
        </c:manualLayout>
      </c:layout>
      <c:overlay val="0"/>
    </c:title>
    <c:autoTitleDeleted val="0"/>
    <c:plotArea>
      <c:layout>
        <c:manualLayout>
          <c:layoutTarget val="inner"/>
          <c:xMode val="edge"/>
          <c:yMode val="edge"/>
          <c:x val="0.1479479440069994"/>
          <c:y val="0.1050925925925926"/>
          <c:w val="0.52027777777777751"/>
          <c:h val="0.86712962962963014"/>
        </c:manualLayout>
      </c:layout>
      <c:pieChart>
        <c:varyColors val="1"/>
        <c:ser>
          <c:idx val="0"/>
          <c:order val="0"/>
          <c:tx>
            <c:strRef>
              <c:f>'5.1 Corp. liquidity - WC Br SEP'!$L$45</c:f>
              <c:strCache>
                <c:ptCount val="1"/>
                <c:pt idx="0">
                  <c:v>INV</c:v>
                </c:pt>
              </c:strCache>
            </c:strRef>
          </c:tx>
          <c:dPt>
            <c:idx val="1"/>
            <c:bubble3D val="0"/>
            <c:spPr>
              <a:solidFill>
                <a:schemeClr val="accent4">
                  <a:lumMod val="60000"/>
                  <a:lumOff val="40000"/>
                </a:schemeClr>
              </a:solidFill>
            </c:spPr>
            <c:extLst>
              <c:ext xmlns:c16="http://schemas.microsoft.com/office/drawing/2014/chart" uri="{C3380CC4-5D6E-409C-BE32-E72D297353CC}">
                <c16:uniqueId val="{00000001-D5B4-4425-89CB-B425661DB627}"/>
              </c:ext>
            </c:extLst>
          </c:dPt>
          <c:dLbls>
            <c:dLbl>
              <c:idx val="0"/>
              <c:spPr/>
              <c:txPr>
                <a:bodyPr/>
                <a:lstStyle/>
                <a:p>
                  <a:pPr>
                    <a:defRPr sz="1200" b="1">
                      <a:solidFill>
                        <a:schemeClr val="bg1"/>
                      </a:solidFill>
                    </a:defRPr>
                  </a:pPr>
                  <a:endParaRPr lang="fr-FR"/>
                </a:p>
              </c:txPr>
              <c:showLegendKey val="0"/>
              <c:showVal val="1"/>
              <c:showCatName val="0"/>
              <c:showSerName val="0"/>
              <c:showPercent val="0"/>
              <c:showBubbleSize val="0"/>
              <c:extLst>
                <c:ext xmlns:c16="http://schemas.microsoft.com/office/drawing/2014/chart" uri="{C3380CC4-5D6E-409C-BE32-E72D297353CC}">
                  <c16:uniqueId val="{00000000-D5B4-4425-89CB-B425661DB627}"/>
                </c:ext>
              </c:extLst>
            </c:dLbl>
            <c:dLbl>
              <c:idx val="1"/>
              <c:spPr/>
              <c:txPr>
                <a:bodyPr/>
                <a:lstStyle/>
                <a:p>
                  <a:pPr>
                    <a:defRPr sz="1200" b="1">
                      <a:solidFill>
                        <a:schemeClr val="bg1"/>
                      </a:solidFill>
                    </a:defRPr>
                  </a:pPr>
                  <a:endParaRPr lang="fr-FR"/>
                </a:p>
              </c:txPr>
              <c:showLegendKey val="0"/>
              <c:showVal val="1"/>
              <c:showCatName val="0"/>
              <c:showSerName val="0"/>
              <c:showPercent val="0"/>
              <c:showBubbleSize val="0"/>
              <c:extLst>
                <c:ext xmlns:c16="http://schemas.microsoft.com/office/drawing/2014/chart" uri="{C3380CC4-5D6E-409C-BE32-E72D297353CC}">
                  <c16:uniqueId val="{00000001-D5B4-4425-89CB-B425661DB627}"/>
                </c:ext>
              </c:extLst>
            </c:dLbl>
            <c:dLbl>
              <c:idx val="2"/>
              <c:tx>
                <c:rich>
                  <a:bodyPr/>
                  <a:lstStyle/>
                  <a:p>
                    <a:pPr>
                      <a:defRPr sz="1200" b="1">
                        <a:solidFill>
                          <a:schemeClr val="bg1"/>
                        </a:solidFill>
                      </a:defRPr>
                    </a:pPr>
                    <a:fld id="{C01A5D94-3C66-4C1E-A516-14466BBBF944}" type="VALUE">
                      <a:rPr lang="en-US">
                        <a:solidFill>
                          <a:sysClr val="windowText" lastClr="000000"/>
                        </a:solidFill>
                      </a:rPr>
                      <a:pPr>
                        <a:defRPr sz="1200" b="1">
                          <a:solidFill>
                            <a:schemeClr val="bg1"/>
                          </a:solidFill>
                        </a:defRPr>
                      </a:pPr>
                      <a:t>[VALEUR]</a:t>
                    </a:fld>
                    <a:endParaRPr lang="fr-FR"/>
                  </a:p>
                </c:rich>
              </c:tx>
              <c:spPr/>
              <c:showLegendKey val="0"/>
              <c:showVal val="1"/>
              <c:showCatName val="0"/>
              <c:showSerName val="0"/>
              <c:showPercent val="0"/>
              <c:showBubbleSize val="0"/>
              <c:extLst>
                <c:ext xmlns:c15="http://schemas.microsoft.com/office/drawing/2012/chart" uri="{CE6537A1-D6FC-4f65-9D91-7224C49458BB}">
                  <c15:dlblFieldTable/>
                  <c15:showDataLabelsRange val="0"/>
                </c:ext>
                <c:ext xmlns:c16="http://schemas.microsoft.com/office/drawing/2014/chart" uri="{C3380CC4-5D6E-409C-BE32-E72D297353CC}">
                  <c16:uniqueId val="{00000002-D5B4-4425-89CB-B425661DB627}"/>
                </c:ext>
              </c:extLst>
            </c:dLbl>
            <c:dLbl>
              <c:idx val="3"/>
              <c:spPr/>
              <c:txPr>
                <a:bodyPr/>
                <a:lstStyle/>
                <a:p>
                  <a:pPr>
                    <a:defRPr sz="1200" b="1">
                      <a:solidFill>
                        <a:schemeClr val="bg1"/>
                      </a:solidFill>
                    </a:defRPr>
                  </a:pPr>
                  <a:endParaRPr lang="fr-FR"/>
                </a:p>
              </c:txPr>
              <c:showLegendKey val="0"/>
              <c:showVal val="1"/>
              <c:showCatName val="0"/>
              <c:showSerName val="0"/>
              <c:showPercent val="0"/>
              <c:showBubbleSize val="0"/>
              <c:extLst>
                <c:ext xmlns:c16="http://schemas.microsoft.com/office/drawing/2014/chart" uri="{C3380CC4-5D6E-409C-BE32-E72D297353CC}">
                  <c16:uniqueId val="{00000003-D5B4-4425-89CB-B425661DB627}"/>
                </c:ext>
              </c:extLst>
            </c:dLbl>
            <c:spPr>
              <a:noFill/>
              <a:ln>
                <a:noFill/>
              </a:ln>
              <a:effectLst/>
            </c:spPr>
            <c:txPr>
              <a:bodyPr/>
              <a:lstStyle/>
              <a:p>
                <a:pPr>
                  <a:defRPr sz="1200" b="1"/>
                </a:pPr>
                <a:endParaRPr lang="fr-FR"/>
              </a:p>
            </c:txPr>
            <c:showLegendKey val="0"/>
            <c:showVal val="1"/>
            <c:showCatName val="0"/>
            <c:showSerName val="0"/>
            <c:showPercent val="0"/>
            <c:showBubbleSize val="0"/>
            <c:showLeaderLines val="1"/>
            <c:extLst>
              <c:ext xmlns:c15="http://schemas.microsoft.com/office/drawing/2012/chart" uri="{CE6537A1-D6FC-4f65-9D91-7224C49458BB}"/>
            </c:extLst>
          </c:dLbls>
          <c:cat>
            <c:strRef>
              <c:f>'5.1 Corp. liquidity - WC Br SEP'!$J$46:$J$48</c:f>
              <c:strCache>
                <c:ptCount val="3"/>
                <c:pt idx="0">
                  <c:v>SNA</c:v>
                </c:pt>
                <c:pt idx="1">
                  <c:v>SND</c:v>
                </c:pt>
                <c:pt idx="2">
                  <c:v>SNR</c:v>
                </c:pt>
              </c:strCache>
            </c:strRef>
          </c:cat>
          <c:val>
            <c:numRef>
              <c:f>'5.1 Corp. liquidity - WC Br SEP'!$L$46:$L$48</c:f>
              <c:numCache>
                <c:formatCode>_-* #\ ##0_-;\-* #\ ##0_-;_-* "-"??_-;_-@_-</c:formatCode>
                <c:ptCount val="3"/>
                <c:pt idx="0">
                  <c:v>4786.9555749578203</c:v>
                </c:pt>
                <c:pt idx="1">
                  <c:v>645.5203524411121</c:v>
                </c:pt>
                <c:pt idx="2" formatCode="0">
                  <c:v>0</c:v>
                </c:pt>
              </c:numCache>
            </c:numRef>
          </c:val>
          <c:extLst>
            <c:ext xmlns:c16="http://schemas.microsoft.com/office/drawing/2014/chart" uri="{C3380CC4-5D6E-409C-BE32-E72D297353CC}">
              <c16:uniqueId val="{00000004-D5B4-4425-89CB-B425661DB627}"/>
            </c:ext>
          </c:extLst>
        </c:ser>
        <c:dLbls>
          <c:showLegendKey val="0"/>
          <c:showVal val="0"/>
          <c:showCatName val="0"/>
          <c:showSerName val="0"/>
          <c:showPercent val="0"/>
          <c:showBubbleSize val="0"/>
          <c:showLeaderLines val="1"/>
        </c:dLbls>
        <c:firstSliceAng val="0"/>
      </c:pieChart>
    </c:plotArea>
    <c:legend>
      <c:legendPos val="r"/>
      <c:layout>
        <c:manualLayout>
          <c:xMode val="edge"/>
          <c:yMode val="edge"/>
          <c:x val="2.1729221347331577E-2"/>
          <c:y val="0.22961614173228354"/>
          <c:w val="0.10327077865266848"/>
          <c:h val="0.68942336753360378"/>
        </c:manualLayout>
      </c:layout>
      <c:overlay val="0"/>
      <c:txPr>
        <a:bodyPr/>
        <a:lstStyle/>
        <a:p>
          <a:pPr rtl="0">
            <a:defRPr b="1"/>
          </a:pPr>
          <a:endParaRPr lang="fr-FR"/>
        </a:p>
      </c:txPr>
    </c:legend>
    <c:plotVisOnly val="1"/>
    <c:dispBlanksAs val="gap"/>
    <c:showDLblsOverMax val="0"/>
  </c:chart>
  <c:spPr>
    <a:noFill/>
    <a:ln>
      <a:noFill/>
    </a:ln>
  </c:spPr>
  <c:printSettings>
    <c:headerFooter/>
    <c:pageMargins b="0.75000000000000044" l="0.7000000000000004" r="0.7000000000000004" t="0.75000000000000044" header="0.30000000000000021" footer="0.30000000000000021"/>
    <c:pageSetup/>
  </c:printSettings>
</c:chartSpace>
</file>

<file path=xl/charts/chart2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7"/>
    </mc:Choice>
    <mc:Fallback>
      <c:style val="7"/>
    </mc:Fallback>
  </mc:AlternateContent>
  <c:chart>
    <c:title>
      <c:tx>
        <c:rich>
          <a:bodyPr/>
          <a:lstStyle/>
          <a:p>
            <a:pPr>
              <a:defRPr sz="1200"/>
            </a:pPr>
            <a:r>
              <a:rPr lang="en-GB"/>
              <a:t>AP, Sep'22</a:t>
            </a:r>
          </a:p>
        </c:rich>
      </c:tx>
      <c:layout>
        <c:manualLayout>
          <c:xMode val="edge"/>
          <c:yMode val="edge"/>
          <c:x val="1.3888888888888911E-2"/>
          <c:y val="2.7777777777777842E-2"/>
        </c:manualLayout>
      </c:layout>
      <c:overlay val="0"/>
    </c:title>
    <c:autoTitleDeleted val="0"/>
    <c:plotArea>
      <c:layout>
        <c:manualLayout>
          <c:layoutTarget val="inner"/>
          <c:xMode val="edge"/>
          <c:yMode val="edge"/>
          <c:x val="0.14794794400699951"/>
          <c:y val="0.1050925925925926"/>
          <c:w val="0.52027777777777751"/>
          <c:h val="0.86712962962963036"/>
        </c:manualLayout>
      </c:layout>
      <c:pieChart>
        <c:varyColors val="1"/>
        <c:ser>
          <c:idx val="0"/>
          <c:order val="0"/>
          <c:tx>
            <c:strRef>
              <c:f>'5.1 Corp. liquidity - WC Br SEP'!$M$45</c:f>
              <c:strCache>
                <c:ptCount val="1"/>
                <c:pt idx="0">
                  <c:v>AP</c:v>
                </c:pt>
              </c:strCache>
            </c:strRef>
          </c:tx>
          <c:dPt>
            <c:idx val="1"/>
            <c:bubble3D val="0"/>
            <c:spPr>
              <a:solidFill>
                <a:schemeClr val="accent4">
                  <a:lumMod val="60000"/>
                  <a:lumOff val="40000"/>
                </a:schemeClr>
              </a:solidFill>
            </c:spPr>
            <c:extLst>
              <c:ext xmlns:c16="http://schemas.microsoft.com/office/drawing/2014/chart" uri="{C3380CC4-5D6E-409C-BE32-E72D297353CC}">
                <c16:uniqueId val="{00000001-84D9-48BE-B2A0-5BCD67910E7A}"/>
              </c:ext>
            </c:extLst>
          </c:dPt>
          <c:dLbls>
            <c:dLbl>
              <c:idx val="0"/>
              <c:spPr/>
              <c:txPr>
                <a:bodyPr/>
                <a:lstStyle/>
                <a:p>
                  <a:pPr>
                    <a:defRPr sz="1200" b="1">
                      <a:solidFill>
                        <a:schemeClr val="bg1"/>
                      </a:solidFill>
                    </a:defRPr>
                  </a:pPr>
                  <a:endParaRPr lang="fr-FR"/>
                </a:p>
              </c:txPr>
              <c:showLegendKey val="0"/>
              <c:showVal val="1"/>
              <c:showCatName val="0"/>
              <c:showSerName val="0"/>
              <c:showPercent val="0"/>
              <c:showBubbleSize val="0"/>
              <c:extLst>
                <c:ext xmlns:c16="http://schemas.microsoft.com/office/drawing/2014/chart" uri="{C3380CC4-5D6E-409C-BE32-E72D297353CC}">
                  <c16:uniqueId val="{00000000-84D9-48BE-B2A0-5BCD67910E7A}"/>
                </c:ext>
              </c:extLst>
            </c:dLbl>
            <c:dLbl>
              <c:idx val="1"/>
              <c:spPr/>
              <c:txPr>
                <a:bodyPr/>
                <a:lstStyle/>
                <a:p>
                  <a:pPr>
                    <a:defRPr sz="1200" b="1">
                      <a:solidFill>
                        <a:schemeClr val="bg1"/>
                      </a:solidFill>
                    </a:defRPr>
                  </a:pPr>
                  <a:endParaRPr lang="fr-FR"/>
                </a:p>
              </c:txPr>
              <c:showLegendKey val="0"/>
              <c:showVal val="1"/>
              <c:showCatName val="0"/>
              <c:showSerName val="0"/>
              <c:showPercent val="0"/>
              <c:showBubbleSize val="0"/>
              <c:extLst>
                <c:ext xmlns:c16="http://schemas.microsoft.com/office/drawing/2014/chart" uri="{C3380CC4-5D6E-409C-BE32-E72D297353CC}">
                  <c16:uniqueId val="{00000001-84D9-48BE-B2A0-5BCD67910E7A}"/>
                </c:ext>
              </c:extLst>
            </c:dLbl>
            <c:dLbl>
              <c:idx val="2"/>
              <c:tx>
                <c:rich>
                  <a:bodyPr/>
                  <a:lstStyle/>
                  <a:p>
                    <a:pPr>
                      <a:defRPr sz="1200" b="1">
                        <a:solidFill>
                          <a:schemeClr val="bg1"/>
                        </a:solidFill>
                      </a:defRPr>
                    </a:pPr>
                    <a:fld id="{F41B8A97-DF87-42EA-9C82-C5ED404587ED}" type="VALUE">
                      <a:rPr lang="en-US">
                        <a:solidFill>
                          <a:sysClr val="windowText" lastClr="000000"/>
                        </a:solidFill>
                      </a:rPr>
                      <a:pPr>
                        <a:defRPr sz="1200" b="1">
                          <a:solidFill>
                            <a:schemeClr val="bg1"/>
                          </a:solidFill>
                        </a:defRPr>
                      </a:pPr>
                      <a:t>[VALEUR]</a:t>
                    </a:fld>
                    <a:endParaRPr lang="fr-FR"/>
                  </a:p>
                </c:rich>
              </c:tx>
              <c:spPr/>
              <c:showLegendKey val="0"/>
              <c:showVal val="1"/>
              <c:showCatName val="0"/>
              <c:showSerName val="0"/>
              <c:showPercent val="0"/>
              <c:showBubbleSize val="0"/>
              <c:extLst>
                <c:ext xmlns:c15="http://schemas.microsoft.com/office/drawing/2012/chart" uri="{CE6537A1-D6FC-4f65-9D91-7224C49458BB}">
                  <c15:dlblFieldTable/>
                  <c15:showDataLabelsRange val="0"/>
                </c:ext>
                <c:ext xmlns:c16="http://schemas.microsoft.com/office/drawing/2014/chart" uri="{C3380CC4-5D6E-409C-BE32-E72D297353CC}">
                  <c16:uniqueId val="{00000002-84D9-48BE-B2A0-5BCD67910E7A}"/>
                </c:ext>
              </c:extLst>
            </c:dLbl>
            <c:dLbl>
              <c:idx val="3"/>
              <c:spPr/>
              <c:txPr>
                <a:bodyPr/>
                <a:lstStyle/>
                <a:p>
                  <a:pPr>
                    <a:defRPr sz="1200" b="1">
                      <a:solidFill>
                        <a:schemeClr val="bg1"/>
                      </a:solidFill>
                    </a:defRPr>
                  </a:pPr>
                  <a:endParaRPr lang="fr-FR"/>
                </a:p>
              </c:txPr>
              <c:showLegendKey val="0"/>
              <c:showVal val="1"/>
              <c:showCatName val="0"/>
              <c:showSerName val="0"/>
              <c:showPercent val="0"/>
              <c:showBubbleSize val="0"/>
              <c:extLst>
                <c:ext xmlns:c16="http://schemas.microsoft.com/office/drawing/2014/chart" uri="{C3380CC4-5D6E-409C-BE32-E72D297353CC}">
                  <c16:uniqueId val="{00000003-84D9-48BE-B2A0-5BCD67910E7A}"/>
                </c:ext>
              </c:extLst>
            </c:dLbl>
            <c:spPr>
              <a:noFill/>
              <a:ln>
                <a:noFill/>
              </a:ln>
              <a:effectLst/>
            </c:spPr>
            <c:txPr>
              <a:bodyPr/>
              <a:lstStyle/>
              <a:p>
                <a:pPr>
                  <a:defRPr sz="1200" b="1"/>
                </a:pPr>
                <a:endParaRPr lang="fr-FR"/>
              </a:p>
            </c:txPr>
            <c:showLegendKey val="0"/>
            <c:showVal val="1"/>
            <c:showCatName val="0"/>
            <c:showSerName val="0"/>
            <c:showPercent val="0"/>
            <c:showBubbleSize val="0"/>
            <c:showLeaderLines val="1"/>
            <c:extLst>
              <c:ext xmlns:c15="http://schemas.microsoft.com/office/drawing/2012/chart" uri="{CE6537A1-D6FC-4f65-9D91-7224C49458BB}"/>
            </c:extLst>
          </c:dLbls>
          <c:cat>
            <c:strRef>
              <c:f>'5.1 Corp. liquidity - WC Br SEP'!$J$46:$J$48</c:f>
              <c:strCache>
                <c:ptCount val="3"/>
                <c:pt idx="0">
                  <c:v>SNA</c:v>
                </c:pt>
                <c:pt idx="1">
                  <c:v>SND</c:v>
                </c:pt>
                <c:pt idx="2">
                  <c:v>SNR</c:v>
                </c:pt>
              </c:strCache>
            </c:strRef>
          </c:cat>
          <c:val>
            <c:numRef>
              <c:f>'5.1 Corp. liquidity - WC Br SEP'!$M$46:$M$48</c:f>
              <c:numCache>
                <c:formatCode>_-* #\ ##0_-;\-* #\ ##0_-;_-* "-"??_-;_-@_-</c:formatCode>
                <c:ptCount val="3"/>
                <c:pt idx="0">
                  <c:v>-852.53070770970794</c:v>
                </c:pt>
                <c:pt idx="1">
                  <c:v>-101.91367787199269</c:v>
                </c:pt>
                <c:pt idx="2" formatCode="0">
                  <c:v>0</c:v>
                </c:pt>
              </c:numCache>
            </c:numRef>
          </c:val>
          <c:extLst>
            <c:ext xmlns:c16="http://schemas.microsoft.com/office/drawing/2014/chart" uri="{C3380CC4-5D6E-409C-BE32-E72D297353CC}">
              <c16:uniqueId val="{00000004-84D9-48BE-B2A0-5BCD67910E7A}"/>
            </c:ext>
          </c:extLst>
        </c:ser>
        <c:dLbls>
          <c:showLegendKey val="0"/>
          <c:showVal val="0"/>
          <c:showCatName val="0"/>
          <c:showSerName val="0"/>
          <c:showPercent val="0"/>
          <c:showBubbleSize val="0"/>
          <c:showLeaderLines val="1"/>
        </c:dLbls>
        <c:firstSliceAng val="0"/>
      </c:pieChart>
    </c:plotArea>
    <c:legend>
      <c:legendPos val="r"/>
      <c:layout>
        <c:manualLayout>
          <c:xMode val="edge"/>
          <c:yMode val="edge"/>
          <c:x val="2.1729221347331577E-2"/>
          <c:y val="0.22961614173228359"/>
          <c:w val="0.10327077865266851"/>
          <c:h val="0.68942336753360378"/>
        </c:manualLayout>
      </c:layout>
      <c:overlay val="0"/>
      <c:txPr>
        <a:bodyPr/>
        <a:lstStyle/>
        <a:p>
          <a:pPr rtl="0">
            <a:defRPr b="1"/>
          </a:pPr>
          <a:endParaRPr lang="fr-FR"/>
        </a:p>
      </c:txPr>
    </c:legend>
    <c:plotVisOnly val="1"/>
    <c:dispBlanksAs val="gap"/>
    <c:showDLblsOverMax val="0"/>
  </c:chart>
  <c:spPr>
    <a:noFill/>
    <a:ln>
      <a:noFill/>
    </a:ln>
  </c:spPr>
  <c:printSettings>
    <c:headerFooter/>
    <c:pageMargins b="0.75000000000000078" l="0.70000000000000062" r="0.70000000000000062" t="0.75000000000000078" header="0.30000000000000032" footer="0.30000000000000032"/>
    <c:pageSetup/>
  </c:printSettings>
</c:chartSpace>
</file>

<file path=xl/charts/chart2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00">
                <a:solidFill>
                  <a:sysClr val="windowText" lastClr="000000"/>
                </a:solidFill>
              </a:defRPr>
            </a:pPr>
            <a:r>
              <a:rPr lang="en-US" sz="1200">
                <a:solidFill>
                  <a:sysClr val="windowText" lastClr="000000"/>
                </a:solidFill>
              </a:rPr>
              <a:t>Inventory structure - SNA &amp; SND</a:t>
            </a:r>
          </a:p>
        </c:rich>
      </c:tx>
      <c:overlay val="1"/>
    </c:title>
    <c:autoTitleDeleted val="0"/>
    <c:plotArea>
      <c:layout>
        <c:manualLayout>
          <c:layoutTarget val="inner"/>
          <c:xMode val="edge"/>
          <c:yMode val="edge"/>
          <c:x val="0.11298840769903719"/>
          <c:y val="0.12534435261707991"/>
          <c:w val="0.85260192475940666"/>
          <c:h val="0.73039326695733253"/>
        </c:manualLayout>
      </c:layout>
      <c:barChart>
        <c:barDir val="col"/>
        <c:grouping val="percentStacked"/>
        <c:varyColors val="0"/>
        <c:ser>
          <c:idx val="0"/>
          <c:order val="0"/>
          <c:tx>
            <c:strRef>
              <c:f>'5,6 Inventory stratification'!$A$36</c:f>
              <c:strCache>
                <c:ptCount val="1"/>
                <c:pt idx="0">
                  <c:v>Lead-containing</c:v>
                </c:pt>
              </c:strCache>
            </c:strRef>
          </c:tx>
          <c:spPr>
            <a:solidFill>
              <a:srgbClr val="002060"/>
            </a:solidFill>
          </c:spPr>
          <c:invertIfNegative val="0"/>
          <c:dLbls>
            <c:spPr>
              <a:noFill/>
              <a:ln>
                <a:noFill/>
              </a:ln>
              <a:effectLst/>
            </c:spPr>
            <c:txPr>
              <a:bodyPr/>
              <a:lstStyle/>
              <a:p>
                <a:pPr>
                  <a:defRPr>
                    <a:solidFill>
                      <a:schemeClr val="bg1"/>
                    </a:solidFill>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'5,6 Inventory stratification'!$B$35:$E$35</c:f>
              <c:strCache>
                <c:ptCount val="4"/>
                <c:pt idx="0">
                  <c:v>Dec'21</c:v>
                </c:pt>
                <c:pt idx="1">
                  <c:v>Mar'22</c:v>
                </c:pt>
                <c:pt idx="2">
                  <c:v>Jun'22</c:v>
                </c:pt>
                <c:pt idx="3">
                  <c:v>Sep'22</c:v>
                </c:pt>
              </c:strCache>
            </c:strRef>
          </c:cat>
          <c:val>
            <c:numRef>
              <c:f>'5,6 Inventory stratification'!$B$36:$E$36</c:f>
              <c:numCache>
                <c:formatCode>0%</c:formatCode>
                <c:ptCount val="4"/>
                <c:pt idx="0">
                  <c:v>0.33909467633467094</c:v>
                </c:pt>
                <c:pt idx="1">
                  <c:v>0.30666803395984638</c:v>
                </c:pt>
                <c:pt idx="2">
                  <c:v>0.30691726881796055</c:v>
                </c:pt>
                <c:pt idx="3">
                  <c:v>0.36908474818978165</c:v>
                </c:pt>
              </c:numCache>
            </c:numRef>
          </c:val>
          <c:extLst>
            <c:ext xmlns:c16="http://schemas.microsoft.com/office/drawing/2014/chart" uri="{C3380CC4-5D6E-409C-BE32-E72D297353CC}">
              <c16:uniqueId val="{00000000-B5B0-4CAC-8D5B-3613E3C9135F}"/>
            </c:ext>
          </c:extLst>
        </c:ser>
        <c:ser>
          <c:idx val="1"/>
          <c:order val="1"/>
          <c:tx>
            <c:strRef>
              <c:f>'5,6 Inventory stratification'!$A$37</c:f>
              <c:strCache>
                <c:ptCount val="1"/>
                <c:pt idx="0">
                  <c:v>RM &amp; Other</c:v>
                </c:pt>
              </c:strCache>
            </c:strRef>
          </c:tx>
          <c:spPr>
            <a:solidFill>
              <a:srgbClr val="0070C0"/>
            </a:solidFill>
          </c:spPr>
          <c:invertIfNegative val="0"/>
          <c:dLbls>
            <c:spPr>
              <a:noFill/>
              <a:ln>
                <a:noFill/>
              </a:ln>
              <a:effectLst/>
            </c:spPr>
            <c:txPr>
              <a:bodyPr/>
              <a:lstStyle/>
              <a:p>
                <a:pPr>
                  <a:defRPr>
                    <a:solidFill>
                      <a:schemeClr val="bg1"/>
                    </a:solidFill>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'5,6 Inventory stratification'!$B$35:$E$35</c:f>
              <c:strCache>
                <c:ptCount val="4"/>
                <c:pt idx="0">
                  <c:v>Dec'21</c:v>
                </c:pt>
                <c:pt idx="1">
                  <c:v>Mar'22</c:v>
                </c:pt>
                <c:pt idx="2">
                  <c:v>Jun'22</c:v>
                </c:pt>
                <c:pt idx="3">
                  <c:v>Sep'22</c:v>
                </c:pt>
              </c:strCache>
            </c:strRef>
          </c:cat>
          <c:val>
            <c:numRef>
              <c:f>'5,6 Inventory stratification'!$B$37:$E$37</c:f>
              <c:numCache>
                <c:formatCode>0%</c:formatCode>
                <c:ptCount val="4"/>
                <c:pt idx="0">
                  <c:v>0.22503006066407419</c:v>
                </c:pt>
                <c:pt idx="1">
                  <c:v>0.26736445137924714</c:v>
                </c:pt>
                <c:pt idx="2">
                  <c:v>0.20242857853859783</c:v>
                </c:pt>
                <c:pt idx="3">
                  <c:v>0.22839050087653881</c:v>
                </c:pt>
              </c:numCache>
            </c:numRef>
          </c:val>
          <c:extLst>
            <c:ext xmlns:c16="http://schemas.microsoft.com/office/drawing/2014/chart" uri="{C3380CC4-5D6E-409C-BE32-E72D297353CC}">
              <c16:uniqueId val="{00000001-B5B0-4CAC-8D5B-3613E3C9135F}"/>
            </c:ext>
          </c:extLst>
        </c:ser>
        <c:ser>
          <c:idx val="2"/>
          <c:order val="2"/>
          <c:tx>
            <c:strRef>
              <c:f>'5,6 Inventory stratification'!$A$38</c:f>
              <c:strCache>
                <c:ptCount val="1"/>
                <c:pt idx="0">
                  <c:v>WIP</c:v>
                </c:pt>
              </c:strCache>
            </c:strRef>
          </c:tx>
          <c:spPr>
            <a:solidFill>
              <a:schemeClr val="bg1">
                <a:lumMod val="75000"/>
              </a:schemeClr>
            </a:solidFill>
          </c:spPr>
          <c:invertIfNegative val="0"/>
          <c:dLbls>
            <c:spPr>
              <a:noFill/>
              <a:ln>
                <a:noFill/>
              </a:ln>
              <a:effectLst/>
            </c:spPr>
            <c:txPr>
              <a:bodyPr/>
              <a:lstStyle/>
              <a:p>
                <a:pPr>
                  <a:defRPr>
                    <a:solidFill>
                      <a:sysClr val="windowText" lastClr="000000"/>
                    </a:solidFill>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'5,6 Inventory stratification'!$B$35:$E$35</c:f>
              <c:strCache>
                <c:ptCount val="4"/>
                <c:pt idx="0">
                  <c:v>Dec'21</c:v>
                </c:pt>
                <c:pt idx="1">
                  <c:v>Mar'22</c:v>
                </c:pt>
                <c:pt idx="2">
                  <c:v>Jun'22</c:v>
                </c:pt>
                <c:pt idx="3">
                  <c:v>Sep'22</c:v>
                </c:pt>
              </c:strCache>
            </c:strRef>
          </c:cat>
          <c:val>
            <c:numRef>
              <c:f>'5,6 Inventory stratification'!$B$38:$E$38</c:f>
              <c:numCache>
                <c:formatCode>0%</c:formatCode>
                <c:ptCount val="4"/>
                <c:pt idx="0">
                  <c:v>7.0355953335921081E-2</c:v>
                </c:pt>
                <c:pt idx="1">
                  <c:v>7.5119034515668315E-2</c:v>
                </c:pt>
                <c:pt idx="2">
                  <c:v>8.5649683028877627E-2</c:v>
                </c:pt>
                <c:pt idx="3">
                  <c:v>7.9303058110581595E-2</c:v>
                </c:pt>
              </c:numCache>
            </c:numRef>
          </c:val>
          <c:extLst>
            <c:ext xmlns:c16="http://schemas.microsoft.com/office/drawing/2014/chart" uri="{C3380CC4-5D6E-409C-BE32-E72D297353CC}">
              <c16:uniqueId val="{00000002-B5B0-4CAC-8D5B-3613E3C9135F}"/>
            </c:ext>
          </c:extLst>
        </c:ser>
        <c:ser>
          <c:idx val="3"/>
          <c:order val="3"/>
          <c:tx>
            <c:strRef>
              <c:f>'5,6 Inventory stratification'!$A$39</c:f>
              <c:strCache>
                <c:ptCount val="1"/>
                <c:pt idx="0">
                  <c:v>FG</c:v>
                </c:pt>
              </c:strCache>
            </c:strRef>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'5,6 Inventory stratification'!$B$35:$E$35</c:f>
              <c:strCache>
                <c:ptCount val="4"/>
                <c:pt idx="0">
                  <c:v>Dec'21</c:v>
                </c:pt>
                <c:pt idx="1">
                  <c:v>Mar'22</c:v>
                </c:pt>
                <c:pt idx="2">
                  <c:v>Jun'22</c:v>
                </c:pt>
                <c:pt idx="3">
                  <c:v>Sep'22</c:v>
                </c:pt>
              </c:strCache>
            </c:strRef>
          </c:cat>
          <c:val>
            <c:numRef>
              <c:f>'5,6 Inventory stratification'!$B$39:$E$39</c:f>
              <c:numCache>
                <c:formatCode>0%</c:formatCode>
                <c:ptCount val="4"/>
                <c:pt idx="0">
                  <c:v>0.36551930966533375</c:v>
                </c:pt>
                <c:pt idx="1">
                  <c:v>0.35084848014523812</c:v>
                </c:pt>
                <c:pt idx="2">
                  <c:v>0.40500446961456404</c:v>
                </c:pt>
                <c:pt idx="3">
                  <c:v>0.32322169282309809</c:v>
                </c:pt>
              </c:numCache>
            </c:numRef>
          </c:val>
          <c:extLst>
            <c:ext xmlns:c16="http://schemas.microsoft.com/office/drawing/2014/chart" uri="{C3380CC4-5D6E-409C-BE32-E72D297353CC}">
              <c16:uniqueId val="{00000003-B5B0-4CAC-8D5B-3613E3C9135F}"/>
            </c:ext>
          </c:extLst>
        </c:ser>
        <c:dLbls>
          <c:showLegendKey val="0"/>
          <c:showVal val="0"/>
          <c:showCatName val="0"/>
          <c:showSerName val="0"/>
          <c:showPercent val="0"/>
          <c:showBubbleSize val="0"/>
        </c:dLbls>
        <c:gapWidth val="57"/>
        <c:overlap val="100"/>
        <c:axId val="211556992"/>
        <c:axId val="211571072"/>
      </c:barChart>
      <c:catAx>
        <c:axId val="211556992"/>
        <c:scaling>
          <c:orientation val="minMax"/>
        </c:scaling>
        <c:delete val="0"/>
        <c:axPos val="b"/>
        <c:numFmt formatCode="General" sourceLinked="0"/>
        <c:majorTickMark val="out"/>
        <c:minorTickMark val="none"/>
        <c:tickLblPos val="nextTo"/>
        <c:txPr>
          <a:bodyPr/>
          <a:lstStyle/>
          <a:p>
            <a:pPr>
              <a:defRPr b="1"/>
            </a:pPr>
            <a:endParaRPr lang="fr-FR"/>
          </a:p>
        </c:txPr>
        <c:crossAx val="211571072"/>
        <c:crosses val="autoZero"/>
        <c:auto val="1"/>
        <c:lblAlgn val="ctr"/>
        <c:lblOffset val="100"/>
        <c:noMultiLvlLbl val="0"/>
      </c:catAx>
      <c:valAx>
        <c:axId val="211571072"/>
        <c:scaling>
          <c:orientation val="minMax"/>
        </c:scaling>
        <c:delete val="0"/>
        <c:axPos val="l"/>
        <c:majorGridlines/>
        <c:numFmt formatCode="0%" sourceLinked="1"/>
        <c:majorTickMark val="out"/>
        <c:minorTickMark val="none"/>
        <c:tickLblPos val="nextTo"/>
        <c:crossAx val="211556992"/>
        <c:crosses val="autoZero"/>
        <c:crossBetween val="between"/>
      </c:valAx>
      <c:spPr>
        <a:noFill/>
      </c:spPr>
    </c:plotArea>
    <c:legend>
      <c:legendPos val="r"/>
      <c:layout>
        <c:manualLayout>
          <c:xMode val="edge"/>
          <c:yMode val="edge"/>
          <c:x val="0.112886764064657"/>
          <c:y val="0.92350059735475276"/>
          <c:w val="0.79956189862313454"/>
          <c:h val="5.4926315710004003E-2"/>
        </c:manualLayout>
      </c:layout>
      <c:overlay val="0"/>
    </c:legend>
    <c:plotVisOnly val="1"/>
    <c:dispBlanksAs val="gap"/>
    <c:showDLblsOverMax val="0"/>
  </c:chart>
  <c:spPr>
    <a:noFill/>
  </c:spPr>
  <c:printSettings>
    <c:headerFooter/>
    <c:pageMargins b="0.75000000000000155" l="0.70000000000000062" r="0.70000000000000062" t="0.75000000000000155" header="0.30000000000000032" footer="0.30000000000000032"/>
    <c:pageSetup/>
  </c:printSettings>
</c:chartSpace>
</file>

<file path=xl/charts/chart2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12"/>
    </mc:Choice>
    <mc:Fallback>
      <c:style val="12"/>
    </mc:Fallback>
  </mc:AlternateContent>
  <c:chart>
    <c:title>
      <c:tx>
        <c:rich>
          <a:bodyPr/>
          <a:lstStyle/>
          <a:p>
            <a:pPr>
              <a:defRPr sz="1100"/>
            </a:pPr>
            <a:r>
              <a:rPr lang="en-US" sz="1100"/>
              <a:t>Stratification by  Key Accounts </a:t>
            </a:r>
          </a:p>
        </c:rich>
      </c:tx>
      <c:overlay val="0"/>
    </c:title>
    <c:autoTitleDeleted val="0"/>
    <c:plotArea>
      <c:layout>
        <c:manualLayout>
          <c:layoutTarget val="inner"/>
          <c:xMode val="edge"/>
          <c:yMode val="edge"/>
          <c:x val="0.10786620530565189"/>
          <c:y val="0.12835361976323933"/>
          <c:w val="0.86766040923085364"/>
          <c:h val="0.75405556253071826"/>
        </c:manualLayout>
      </c:layout>
      <c:barChart>
        <c:barDir val="bar"/>
        <c:grouping val="percentStacked"/>
        <c:varyColors val="0"/>
        <c:ser>
          <c:idx val="3"/>
          <c:order val="0"/>
          <c:tx>
            <c:strRef>
              <c:f>'4.2 Domestic market stratificat'!$B$44</c:f>
              <c:strCache>
                <c:ptCount val="1"/>
                <c:pt idx="0">
                  <c:v>KA 1</c:v>
                </c:pt>
              </c:strCache>
            </c:strRef>
          </c:tx>
          <c:invertIfNegative val="0"/>
          <c:dLbls>
            <c:spPr>
              <a:noFill/>
              <a:ln>
                <a:noFill/>
              </a:ln>
              <a:effectLst/>
            </c:spPr>
            <c:txPr>
              <a:bodyPr/>
              <a:lstStyle/>
              <a:p>
                <a:pPr>
                  <a:defRPr sz="800" b="1"/>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'4.2 Domestic market stratificat'!$C$43:$E$43</c:f>
              <c:strCache>
                <c:ptCount val="3"/>
                <c:pt idx="0">
                  <c:v>Volume (Pcs)</c:v>
                </c:pt>
                <c:pt idx="1">
                  <c:v>Total NCM
(ÉUR '000)</c:v>
                </c:pt>
                <c:pt idx="2">
                  <c:v>Revenue
(EUR '000)</c:v>
                </c:pt>
              </c:strCache>
            </c:strRef>
          </c:cat>
          <c:val>
            <c:numRef>
              <c:f>'4.2 Domestic market stratificat'!$C$44:$E$44</c:f>
              <c:numCache>
                <c:formatCode>General</c:formatCode>
                <c:ptCount val="3"/>
                <c:pt idx="0">
                  <c:v>1450</c:v>
                </c:pt>
                <c:pt idx="1">
                  <c:v>277</c:v>
                </c:pt>
                <c:pt idx="2">
                  <c:v>2300</c:v>
                </c:pt>
              </c:numCache>
            </c:numRef>
          </c:val>
          <c:extLst>
            <c:ext xmlns:c16="http://schemas.microsoft.com/office/drawing/2014/chart" uri="{C3380CC4-5D6E-409C-BE32-E72D297353CC}">
              <c16:uniqueId val="{00000000-7475-4CEC-B00B-4DD1DDE850FB}"/>
            </c:ext>
          </c:extLst>
        </c:ser>
        <c:ser>
          <c:idx val="2"/>
          <c:order val="1"/>
          <c:tx>
            <c:strRef>
              <c:f>'4.2 Domestic market stratificat'!$B$45</c:f>
              <c:strCache>
                <c:ptCount val="1"/>
                <c:pt idx="0">
                  <c:v>KA 2</c:v>
                </c:pt>
              </c:strCache>
            </c:strRef>
          </c:tx>
          <c:invertIfNegative val="0"/>
          <c:dLbls>
            <c:spPr>
              <a:noFill/>
              <a:ln>
                <a:noFill/>
              </a:ln>
              <a:effectLst/>
            </c:spPr>
            <c:txPr>
              <a:bodyPr/>
              <a:lstStyle/>
              <a:p>
                <a:pPr>
                  <a:defRPr sz="800"/>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'4.2 Domestic market stratificat'!$C$43:$E$43</c:f>
              <c:strCache>
                <c:ptCount val="3"/>
                <c:pt idx="0">
                  <c:v>Volume (Pcs)</c:v>
                </c:pt>
                <c:pt idx="1">
                  <c:v>Total NCM
(ÉUR '000)</c:v>
                </c:pt>
                <c:pt idx="2">
                  <c:v>Revenue
(EUR '000)</c:v>
                </c:pt>
              </c:strCache>
            </c:strRef>
          </c:cat>
          <c:val>
            <c:numRef>
              <c:f>'4.2 Domestic market stratificat'!$C$45:$E$45</c:f>
              <c:numCache>
                <c:formatCode>0</c:formatCode>
                <c:ptCount val="3"/>
                <c:pt idx="0" formatCode="General">
                  <c:v>1700</c:v>
                </c:pt>
                <c:pt idx="1">
                  <c:v>301.08695652173913</c:v>
                </c:pt>
                <c:pt idx="2" formatCode="General">
                  <c:v>2500</c:v>
                </c:pt>
              </c:numCache>
            </c:numRef>
          </c:val>
          <c:extLst>
            <c:ext xmlns:c16="http://schemas.microsoft.com/office/drawing/2014/chart" uri="{C3380CC4-5D6E-409C-BE32-E72D297353CC}">
              <c16:uniqueId val="{00000001-7475-4CEC-B00B-4DD1DDE850FB}"/>
            </c:ext>
          </c:extLst>
        </c:ser>
        <c:ser>
          <c:idx val="1"/>
          <c:order val="2"/>
          <c:tx>
            <c:strRef>
              <c:f>'4.2 Domestic market stratificat'!$B$46</c:f>
              <c:strCache>
                <c:ptCount val="1"/>
                <c:pt idx="0">
                  <c:v>KA 3</c:v>
                </c:pt>
              </c:strCache>
            </c:strRef>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'4.2 Domestic market stratificat'!$C$43:$E$43</c:f>
              <c:strCache>
                <c:ptCount val="3"/>
                <c:pt idx="0">
                  <c:v>Volume (Pcs)</c:v>
                </c:pt>
                <c:pt idx="1">
                  <c:v>Total NCM
(ÉUR '000)</c:v>
                </c:pt>
                <c:pt idx="2">
                  <c:v>Revenue
(EUR '000)</c:v>
                </c:pt>
              </c:strCache>
            </c:strRef>
          </c:cat>
          <c:val>
            <c:numRef>
              <c:f>'4.2 Domestic market stratificat'!$C$46:$E$46</c:f>
              <c:numCache>
                <c:formatCode>0</c:formatCode>
                <c:ptCount val="3"/>
                <c:pt idx="0" formatCode="General">
                  <c:v>1200</c:v>
                </c:pt>
                <c:pt idx="1">
                  <c:v>240.86956521739131</c:v>
                </c:pt>
                <c:pt idx="2" formatCode="General">
                  <c:v>2000</c:v>
                </c:pt>
              </c:numCache>
            </c:numRef>
          </c:val>
          <c:extLst>
            <c:ext xmlns:c16="http://schemas.microsoft.com/office/drawing/2014/chart" uri="{C3380CC4-5D6E-409C-BE32-E72D297353CC}">
              <c16:uniqueId val="{00000002-7475-4CEC-B00B-4DD1DDE850FB}"/>
            </c:ext>
          </c:extLst>
        </c:ser>
        <c:ser>
          <c:idx val="0"/>
          <c:order val="3"/>
          <c:tx>
            <c:strRef>
              <c:f>'4.2 Domestic market stratificat'!$B$47</c:f>
              <c:strCache>
                <c:ptCount val="1"/>
                <c:pt idx="0">
                  <c:v>KA 4</c:v>
                </c:pt>
              </c:strCache>
            </c:strRef>
          </c:tx>
          <c:invertIfNegative val="0"/>
          <c:dLbls>
            <c:spPr>
              <a:noFill/>
              <a:ln>
                <a:noFill/>
              </a:ln>
              <a:effectLst/>
            </c:spPr>
            <c:txPr>
              <a:bodyPr/>
              <a:lstStyle/>
              <a:p>
                <a:pPr>
                  <a:defRPr sz="800"/>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'4.2 Domestic market stratificat'!$C$43:$E$43</c:f>
              <c:strCache>
                <c:ptCount val="3"/>
                <c:pt idx="0">
                  <c:v>Volume (Pcs)</c:v>
                </c:pt>
                <c:pt idx="1">
                  <c:v>Total NCM
(ÉUR '000)</c:v>
                </c:pt>
                <c:pt idx="2">
                  <c:v>Revenue
(EUR '000)</c:v>
                </c:pt>
              </c:strCache>
            </c:strRef>
          </c:cat>
          <c:val>
            <c:numRef>
              <c:f>'4.2 Domestic market stratificat'!$C$47:$E$47</c:f>
              <c:numCache>
                <c:formatCode>0</c:formatCode>
                <c:ptCount val="3"/>
                <c:pt idx="0" formatCode="General">
                  <c:v>1150</c:v>
                </c:pt>
                <c:pt idx="1">
                  <c:v>216.78260869565219</c:v>
                </c:pt>
                <c:pt idx="2" formatCode="General">
                  <c:v>1800</c:v>
                </c:pt>
              </c:numCache>
            </c:numRef>
          </c:val>
          <c:extLst>
            <c:ext xmlns:c16="http://schemas.microsoft.com/office/drawing/2014/chart" uri="{C3380CC4-5D6E-409C-BE32-E72D297353CC}">
              <c16:uniqueId val="{00000003-7475-4CEC-B00B-4DD1DDE850FB}"/>
            </c:ext>
          </c:extLst>
        </c:ser>
        <c:ser>
          <c:idx val="4"/>
          <c:order val="4"/>
          <c:tx>
            <c:strRef>
              <c:f>'4.2 Domestic market stratificat'!$B$48</c:f>
              <c:strCache>
                <c:ptCount val="1"/>
                <c:pt idx="0">
                  <c:v>KA 5</c:v>
                </c:pt>
              </c:strCache>
            </c:strRef>
          </c:tx>
          <c:invertIfNegative val="0"/>
          <c:dLbls>
            <c:spPr>
              <a:noFill/>
              <a:ln>
                <a:noFill/>
              </a:ln>
              <a:effectLst/>
            </c:spPr>
            <c:txPr>
              <a:bodyPr/>
              <a:lstStyle/>
              <a:p>
                <a:pPr>
                  <a:defRPr sz="800"/>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'4.2 Domestic market stratificat'!$C$43:$E$43</c:f>
              <c:strCache>
                <c:ptCount val="3"/>
                <c:pt idx="0">
                  <c:v>Volume (Pcs)</c:v>
                </c:pt>
                <c:pt idx="1">
                  <c:v>Total NCM
(ÉUR '000)</c:v>
                </c:pt>
                <c:pt idx="2">
                  <c:v>Revenue
(EUR '000)</c:v>
                </c:pt>
              </c:strCache>
            </c:strRef>
          </c:cat>
          <c:val>
            <c:numRef>
              <c:f>'4.2 Domestic market stratificat'!$C$48:$E$48</c:f>
              <c:numCache>
                <c:formatCode>0</c:formatCode>
                <c:ptCount val="3"/>
                <c:pt idx="0" formatCode="General">
                  <c:v>900</c:v>
                </c:pt>
                <c:pt idx="1">
                  <c:v>186.67391304347825</c:v>
                </c:pt>
                <c:pt idx="2" formatCode="General">
                  <c:v>1550</c:v>
                </c:pt>
              </c:numCache>
            </c:numRef>
          </c:val>
          <c:extLst>
            <c:ext xmlns:c16="http://schemas.microsoft.com/office/drawing/2014/chart" uri="{C3380CC4-5D6E-409C-BE32-E72D297353CC}">
              <c16:uniqueId val="{00000004-7475-4CEC-B00B-4DD1DDE850FB}"/>
            </c:ext>
          </c:extLst>
        </c:ser>
        <c:ser>
          <c:idx val="5"/>
          <c:order val="5"/>
          <c:tx>
            <c:strRef>
              <c:f>'4.2 Domestic market stratificat'!$B$49</c:f>
              <c:strCache>
                <c:ptCount val="1"/>
                <c:pt idx="0">
                  <c:v>KA 6</c:v>
                </c:pt>
              </c:strCache>
            </c:strRef>
          </c:tx>
          <c:invertIfNegative val="0"/>
          <c:dLbls>
            <c:spPr>
              <a:noFill/>
              <a:ln>
                <a:noFill/>
              </a:ln>
              <a:effectLst/>
            </c:spPr>
            <c:txPr>
              <a:bodyPr/>
              <a:lstStyle/>
              <a:p>
                <a:pPr>
                  <a:defRPr sz="800"/>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'4.2 Domestic market stratificat'!$C$43:$E$43</c:f>
              <c:strCache>
                <c:ptCount val="3"/>
                <c:pt idx="0">
                  <c:v>Volume (Pcs)</c:v>
                </c:pt>
                <c:pt idx="1">
                  <c:v>Total NCM
(ÉUR '000)</c:v>
                </c:pt>
                <c:pt idx="2">
                  <c:v>Revenue
(EUR '000)</c:v>
                </c:pt>
              </c:strCache>
            </c:strRef>
          </c:cat>
          <c:val>
            <c:numRef>
              <c:f>'4.2 Domestic market stratificat'!$C$49:$E$49</c:f>
              <c:numCache>
                <c:formatCode>0</c:formatCode>
                <c:ptCount val="3"/>
                <c:pt idx="0" formatCode="General">
                  <c:v>800</c:v>
                </c:pt>
                <c:pt idx="1">
                  <c:v>174.63043478260869</c:v>
                </c:pt>
                <c:pt idx="2" formatCode="General">
                  <c:v>1450</c:v>
                </c:pt>
              </c:numCache>
            </c:numRef>
          </c:val>
          <c:extLst>
            <c:ext xmlns:c16="http://schemas.microsoft.com/office/drawing/2014/chart" uri="{C3380CC4-5D6E-409C-BE32-E72D297353CC}">
              <c16:uniqueId val="{00000005-7475-4CEC-B00B-4DD1DDE850FB}"/>
            </c:ext>
          </c:extLst>
        </c:ser>
        <c:ser>
          <c:idx val="6"/>
          <c:order val="6"/>
          <c:tx>
            <c:strRef>
              <c:f>'4.2 Domestic market stratificat'!$B$50</c:f>
              <c:strCache>
                <c:ptCount val="1"/>
                <c:pt idx="0">
                  <c:v>KA 7</c:v>
                </c:pt>
              </c:strCache>
            </c:strRef>
          </c:tx>
          <c:invertIfNegative val="0"/>
          <c:dLbls>
            <c:spPr>
              <a:noFill/>
              <a:ln>
                <a:noFill/>
              </a:ln>
              <a:effectLst/>
            </c:spPr>
            <c:txPr>
              <a:bodyPr/>
              <a:lstStyle/>
              <a:p>
                <a:pPr>
                  <a:defRPr sz="800" b="1"/>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'4.2 Domestic market stratificat'!$C$43:$E$43</c:f>
              <c:strCache>
                <c:ptCount val="3"/>
                <c:pt idx="0">
                  <c:v>Volume (Pcs)</c:v>
                </c:pt>
                <c:pt idx="1">
                  <c:v>Total NCM
(ÉUR '000)</c:v>
                </c:pt>
                <c:pt idx="2">
                  <c:v>Revenue
(EUR '000)</c:v>
                </c:pt>
              </c:strCache>
            </c:strRef>
          </c:cat>
          <c:val>
            <c:numRef>
              <c:f>'4.2 Domestic market stratificat'!$C$50:$E$50</c:f>
              <c:numCache>
                <c:formatCode>0</c:formatCode>
                <c:ptCount val="3"/>
                <c:pt idx="0" formatCode="General">
                  <c:v>850</c:v>
                </c:pt>
                <c:pt idx="1">
                  <c:v>168.60869565217391</c:v>
                </c:pt>
                <c:pt idx="2" formatCode="General">
                  <c:v>1400</c:v>
                </c:pt>
              </c:numCache>
            </c:numRef>
          </c:val>
          <c:extLst>
            <c:ext xmlns:c16="http://schemas.microsoft.com/office/drawing/2014/chart" uri="{C3380CC4-5D6E-409C-BE32-E72D297353CC}">
              <c16:uniqueId val="{00000006-7475-4CEC-B00B-4DD1DDE850FB}"/>
            </c:ext>
          </c:extLst>
        </c:ser>
        <c:ser>
          <c:idx val="7"/>
          <c:order val="7"/>
          <c:tx>
            <c:strRef>
              <c:f>'4.2 Domestic market stratificat'!$B$51</c:f>
              <c:strCache>
                <c:ptCount val="1"/>
                <c:pt idx="0">
                  <c:v>KA 8</c:v>
                </c:pt>
              </c:strCache>
            </c:strRef>
          </c:tx>
          <c:invertIfNegative val="0"/>
          <c:dLbls>
            <c:spPr>
              <a:noFill/>
              <a:ln>
                <a:noFill/>
              </a:ln>
              <a:effectLst/>
            </c:spPr>
            <c:txPr>
              <a:bodyPr/>
              <a:lstStyle/>
              <a:p>
                <a:pPr>
                  <a:defRPr sz="800" b="1"/>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'4.2 Domestic market stratificat'!$C$43:$E$43</c:f>
              <c:strCache>
                <c:ptCount val="3"/>
                <c:pt idx="0">
                  <c:v>Volume (Pcs)</c:v>
                </c:pt>
                <c:pt idx="1">
                  <c:v>Total NCM
(ÉUR '000)</c:v>
                </c:pt>
                <c:pt idx="2">
                  <c:v>Revenue
(EUR '000)</c:v>
                </c:pt>
              </c:strCache>
            </c:strRef>
          </c:cat>
          <c:val>
            <c:numRef>
              <c:f>'4.2 Domestic market stratificat'!$C$51:$E$51</c:f>
              <c:numCache>
                <c:formatCode>0</c:formatCode>
                <c:ptCount val="3"/>
                <c:pt idx="0" formatCode="General">
                  <c:v>700</c:v>
                </c:pt>
                <c:pt idx="1">
                  <c:v>156.56521739130434</c:v>
                </c:pt>
                <c:pt idx="2" formatCode="General">
                  <c:v>1300</c:v>
                </c:pt>
              </c:numCache>
            </c:numRef>
          </c:val>
          <c:extLst>
            <c:ext xmlns:c16="http://schemas.microsoft.com/office/drawing/2014/chart" uri="{C3380CC4-5D6E-409C-BE32-E72D297353CC}">
              <c16:uniqueId val="{00000007-7475-4CEC-B00B-4DD1DDE850FB}"/>
            </c:ext>
          </c:extLst>
        </c:ser>
        <c:dLbls>
          <c:showLegendKey val="0"/>
          <c:showVal val="0"/>
          <c:showCatName val="0"/>
          <c:showSerName val="0"/>
          <c:showPercent val="0"/>
          <c:showBubbleSize val="0"/>
        </c:dLbls>
        <c:gapWidth val="54"/>
        <c:overlap val="100"/>
        <c:serLines/>
        <c:axId val="54394880"/>
        <c:axId val="54396416"/>
      </c:barChart>
      <c:catAx>
        <c:axId val="54394880"/>
        <c:scaling>
          <c:orientation val="minMax"/>
        </c:scaling>
        <c:delete val="0"/>
        <c:axPos val="l"/>
        <c:numFmt formatCode="General" sourceLinked="1"/>
        <c:majorTickMark val="none"/>
        <c:minorTickMark val="none"/>
        <c:tickLblPos val="nextTo"/>
        <c:txPr>
          <a:bodyPr/>
          <a:lstStyle/>
          <a:p>
            <a:pPr>
              <a:defRPr sz="600" b="1"/>
            </a:pPr>
            <a:endParaRPr lang="fr-FR"/>
          </a:p>
        </c:txPr>
        <c:crossAx val="54396416"/>
        <c:crosses val="autoZero"/>
        <c:auto val="1"/>
        <c:lblAlgn val="ctr"/>
        <c:lblOffset val="100"/>
        <c:noMultiLvlLbl val="0"/>
      </c:catAx>
      <c:valAx>
        <c:axId val="54396416"/>
        <c:scaling>
          <c:orientation val="minMax"/>
        </c:scaling>
        <c:delete val="1"/>
        <c:axPos val="b"/>
        <c:majorGridlines/>
        <c:numFmt formatCode="0%" sourceLinked="1"/>
        <c:majorTickMark val="out"/>
        <c:minorTickMark val="none"/>
        <c:tickLblPos val="none"/>
        <c:crossAx val="54394880"/>
        <c:crosses val="autoZero"/>
        <c:crossBetween val="between"/>
      </c:valAx>
      <c:spPr>
        <a:noFill/>
      </c:spPr>
    </c:plotArea>
    <c:legend>
      <c:legendPos val="r"/>
      <c:layout>
        <c:manualLayout>
          <c:xMode val="edge"/>
          <c:yMode val="edge"/>
          <c:x val="0"/>
          <c:y val="0.88980862255871063"/>
          <c:w val="1"/>
          <c:h val="9.0084024152082942E-2"/>
        </c:manualLayout>
      </c:layout>
      <c:overlay val="0"/>
      <c:txPr>
        <a:bodyPr/>
        <a:lstStyle/>
        <a:p>
          <a:pPr>
            <a:defRPr sz="600"/>
          </a:pPr>
          <a:endParaRPr lang="fr-FR"/>
        </a:p>
      </c:txPr>
    </c:legend>
    <c:plotVisOnly val="1"/>
    <c:dispBlanksAs val="gap"/>
    <c:showDLblsOverMax val="0"/>
  </c:chart>
  <c:spPr>
    <a:noFill/>
    <a:ln>
      <a:noFill/>
    </a:ln>
  </c:spPr>
  <c:printSettings>
    <c:headerFooter/>
    <c:pageMargins b="0.75000000000000211" l="0.70000000000000062" r="0.70000000000000062" t="0.75000000000000211" header="0.30000000000000032" footer="0.30000000000000032"/>
    <c:pageSetup/>
  </c:printSettings>
</c:chartSpace>
</file>

<file path=xl/charts/chart2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12"/>
    </mc:Choice>
    <mc:Fallback>
      <c:style val="12"/>
    </mc:Fallback>
  </mc:AlternateContent>
  <c:chart>
    <c:title>
      <c:tx>
        <c:rich>
          <a:bodyPr/>
          <a:lstStyle/>
          <a:p>
            <a:pPr>
              <a:defRPr sz="1100"/>
            </a:pPr>
            <a:r>
              <a:rPr lang="en-US" sz="1100"/>
              <a:t>Top</a:t>
            </a:r>
            <a:r>
              <a:rPr lang="en-US" sz="1100" baseline="0"/>
              <a:t> 10/Total</a:t>
            </a:r>
            <a:endParaRPr lang="en-US" sz="1100"/>
          </a:p>
        </c:rich>
      </c:tx>
      <c:layout>
        <c:manualLayout>
          <c:xMode val="edge"/>
          <c:yMode val="edge"/>
          <c:x val="0.19808628085952648"/>
          <c:y val="4.7768065355740442E-2"/>
        </c:manualLayout>
      </c:layout>
      <c:overlay val="0"/>
    </c:title>
    <c:autoTitleDeleted val="0"/>
    <c:plotArea>
      <c:layout>
        <c:manualLayout>
          <c:layoutTarget val="inner"/>
          <c:xMode val="edge"/>
          <c:yMode val="edge"/>
          <c:x val="4.5025510779601614E-3"/>
          <c:y val="0.12835365497701892"/>
          <c:w val="0.95828994444575577"/>
          <c:h val="0.74902916682039133"/>
        </c:manualLayout>
      </c:layout>
      <c:barChart>
        <c:barDir val="bar"/>
        <c:grouping val="percentStacked"/>
        <c:varyColors val="0"/>
        <c:ser>
          <c:idx val="3"/>
          <c:order val="0"/>
          <c:tx>
            <c:strRef>
              <c:f>'4.2 Domestic market stratificat'!$B$59</c:f>
              <c:strCache>
                <c:ptCount val="1"/>
                <c:pt idx="0">
                  <c:v>KA coverage</c:v>
                </c:pt>
              </c:strCache>
            </c:strRef>
          </c:tx>
          <c:spPr>
            <a:solidFill>
              <a:schemeClr val="tx1">
                <a:lumMod val="50000"/>
                <a:lumOff val="50000"/>
              </a:schemeClr>
            </a:solidFill>
          </c:spPr>
          <c:invertIfNegative val="0"/>
          <c:dLbls>
            <c:spPr>
              <a:noFill/>
              <a:ln>
                <a:noFill/>
              </a:ln>
              <a:effectLst/>
            </c:spPr>
            <c:txPr>
              <a:bodyPr/>
              <a:lstStyle/>
              <a:p>
                <a:pPr>
                  <a:defRPr sz="800" b="1">
                    <a:solidFill>
                      <a:schemeClr val="bg1"/>
                    </a:solidFill>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'4.2 Domestic market stratificat'!$C$57:$E$57</c:f>
              <c:numCache>
                <c:formatCode>General</c:formatCode>
                <c:ptCount val="3"/>
              </c:numCache>
            </c:numRef>
          </c:cat>
          <c:val>
            <c:numRef>
              <c:f>'4.2 Domestic market stratificat'!$C$59:$E$59</c:f>
              <c:numCache>
                <c:formatCode>0%</c:formatCode>
                <c:ptCount val="3"/>
                <c:pt idx="0">
                  <c:v>0.66866666666666663</c:v>
                </c:pt>
                <c:pt idx="1">
                  <c:v>0.83780718336483939</c:v>
                </c:pt>
                <c:pt idx="2">
                  <c:v>0.76190476190476186</c:v>
                </c:pt>
              </c:numCache>
            </c:numRef>
          </c:val>
          <c:extLst>
            <c:ext xmlns:c16="http://schemas.microsoft.com/office/drawing/2014/chart" uri="{C3380CC4-5D6E-409C-BE32-E72D297353CC}">
              <c16:uniqueId val="{00000000-8B9B-4C1A-BE2D-BB0CC56D04A2}"/>
            </c:ext>
          </c:extLst>
        </c:ser>
        <c:dLbls>
          <c:showLegendKey val="0"/>
          <c:showVal val="0"/>
          <c:showCatName val="0"/>
          <c:showSerName val="0"/>
          <c:showPercent val="0"/>
          <c:showBubbleSize val="0"/>
        </c:dLbls>
        <c:gapWidth val="54"/>
        <c:overlap val="100"/>
        <c:serLines/>
        <c:axId val="54421376"/>
        <c:axId val="54422912"/>
      </c:barChart>
      <c:catAx>
        <c:axId val="54421376"/>
        <c:scaling>
          <c:orientation val="minMax"/>
        </c:scaling>
        <c:delete val="1"/>
        <c:axPos val="l"/>
        <c:numFmt formatCode="General" sourceLinked="1"/>
        <c:majorTickMark val="none"/>
        <c:minorTickMark val="none"/>
        <c:tickLblPos val="none"/>
        <c:crossAx val="54422912"/>
        <c:crosses val="autoZero"/>
        <c:auto val="1"/>
        <c:lblAlgn val="ctr"/>
        <c:lblOffset val="100"/>
        <c:noMultiLvlLbl val="0"/>
      </c:catAx>
      <c:valAx>
        <c:axId val="54422912"/>
        <c:scaling>
          <c:orientation val="minMax"/>
        </c:scaling>
        <c:delete val="1"/>
        <c:axPos val="b"/>
        <c:majorGridlines/>
        <c:numFmt formatCode="0%" sourceLinked="1"/>
        <c:majorTickMark val="out"/>
        <c:minorTickMark val="none"/>
        <c:tickLblPos val="none"/>
        <c:crossAx val="54421376"/>
        <c:crosses val="autoZero"/>
        <c:crossBetween val="between"/>
      </c:valAx>
      <c:spPr>
        <a:noFill/>
      </c:spPr>
    </c:plotArea>
    <c:plotVisOnly val="1"/>
    <c:dispBlanksAs val="gap"/>
    <c:showDLblsOverMax val="0"/>
  </c:chart>
  <c:spPr>
    <a:noFill/>
    <a:ln>
      <a:noFill/>
    </a:ln>
  </c:spPr>
  <c:printSettings>
    <c:headerFooter/>
    <c:pageMargins b="0.75000000000000233" l="0.70000000000000062" r="0.70000000000000062" t="0.75000000000000233" header="0.30000000000000032" footer="0.30000000000000032"/>
    <c:pageSetup/>
  </c:printSettings>
</c:chartSpace>
</file>

<file path=xl/charts/chart2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00"/>
            </a:pPr>
            <a:r>
              <a:rPr lang="en-US" sz="1000"/>
              <a:t>On-time collection of receivables from KA</a:t>
            </a:r>
          </a:p>
        </c:rich>
      </c:tx>
      <c:layout>
        <c:manualLayout>
          <c:xMode val="edge"/>
          <c:yMode val="edge"/>
          <c:x val="0.16860992258311019"/>
          <c:y val="2.6356585929733757E-2"/>
        </c:manualLayout>
      </c:layout>
      <c:overlay val="0"/>
    </c:title>
    <c:autoTitleDeleted val="0"/>
    <c:plotArea>
      <c:layout>
        <c:manualLayout>
          <c:layoutTarget val="inner"/>
          <c:xMode val="edge"/>
          <c:yMode val="edge"/>
          <c:x val="0.31951848742523736"/>
          <c:y val="0.18813238581836525"/>
          <c:w val="0.55022580793983245"/>
          <c:h val="0.58794289721808746"/>
        </c:manualLayout>
      </c:layout>
      <c:pieChart>
        <c:varyColors val="1"/>
        <c:ser>
          <c:idx val="0"/>
          <c:order val="0"/>
          <c:spPr>
            <a:ln w="57150">
              <a:solidFill>
                <a:schemeClr val="accent5"/>
              </a:solidFill>
            </a:ln>
          </c:spPr>
          <c:dPt>
            <c:idx val="1"/>
            <c:bubble3D val="0"/>
            <c:spPr>
              <a:solidFill>
                <a:sysClr val="window" lastClr="FFFFFF"/>
              </a:solidFill>
              <a:ln w="57150">
                <a:solidFill>
                  <a:schemeClr val="accent5"/>
                </a:solidFill>
              </a:ln>
            </c:spPr>
            <c:extLst>
              <c:ext xmlns:c16="http://schemas.microsoft.com/office/drawing/2014/chart" uri="{C3380CC4-5D6E-409C-BE32-E72D297353CC}">
                <c16:uniqueId val="{00000001-5F97-4FFA-806F-0AFEC062DD5D}"/>
              </c:ext>
            </c:extLst>
          </c:dPt>
          <c:dLbls>
            <c:dLbl>
              <c:idx val="0"/>
              <c:spPr/>
              <c:txPr>
                <a:bodyPr/>
                <a:lstStyle/>
                <a:p>
                  <a:pPr>
                    <a:defRPr b="1">
                      <a:solidFill>
                        <a:schemeClr val="bg1"/>
                      </a:solidFill>
                    </a:defRPr>
                  </a:pPr>
                  <a:endParaRPr lang="fr-FR"/>
                </a:p>
              </c:txPr>
              <c:dLblPos val="ctr"/>
              <c:showLegendKey val="0"/>
              <c:showVal val="1"/>
              <c:showCatName val="0"/>
              <c:showSerName val="0"/>
              <c:showPercent val="0"/>
              <c:showBubbleSize val="0"/>
              <c:extLst>
                <c:ext xmlns:c16="http://schemas.microsoft.com/office/drawing/2014/chart" uri="{C3380CC4-5D6E-409C-BE32-E72D297353CC}">
                  <c16:uniqueId val="{00000002-5F97-4FFA-806F-0AFEC062DD5D}"/>
                </c:ext>
              </c:extLst>
            </c:dLbl>
            <c:dLbl>
              <c:idx val="1"/>
              <c:delete val="1"/>
              <c:extLst>
                <c:ext xmlns:c15="http://schemas.microsoft.com/office/drawing/2012/chart" uri="{CE6537A1-D6FC-4f65-9D91-7224C49458BB}"/>
                <c:ext xmlns:c16="http://schemas.microsoft.com/office/drawing/2014/chart" uri="{C3380CC4-5D6E-409C-BE32-E72D297353CC}">
                  <c16:uniqueId val="{00000001-5F97-4FFA-806F-0AFEC062DD5D}"/>
                </c:ext>
              </c:extLst>
            </c:dLbl>
            <c:spPr>
              <a:noFill/>
              <a:ln>
                <a:noFill/>
              </a:ln>
              <a:effectLst/>
            </c:spPr>
            <c:dLblPos val="ctr"/>
            <c:showLegendKey val="0"/>
            <c:showVal val="1"/>
            <c:showCatName val="0"/>
            <c:showSerName val="0"/>
            <c:showPercent val="0"/>
            <c:showBubbleSize val="0"/>
            <c:showLeaderLines val="1"/>
            <c:extLst>
              <c:ext xmlns:c15="http://schemas.microsoft.com/office/drawing/2012/chart" uri="{CE6537A1-D6FC-4f65-9D91-7224C49458BB}"/>
            </c:extLst>
          </c:dLbls>
          <c:cat>
            <c:strRef>
              <c:f>'4.2 Domestic market stratificat'!$B$63:$B$64</c:f>
              <c:strCache>
                <c:ptCount val="2"/>
                <c:pt idx="0">
                  <c:v>On-time</c:v>
                </c:pt>
                <c:pt idx="1">
                  <c:v>Overdue</c:v>
                </c:pt>
              </c:strCache>
            </c:strRef>
          </c:cat>
          <c:val>
            <c:numRef>
              <c:f>'4.2 Domestic market stratificat'!$C$63:$C$64</c:f>
              <c:numCache>
                <c:formatCode>0%</c:formatCode>
                <c:ptCount val="2"/>
                <c:pt idx="0">
                  <c:v>0.9</c:v>
                </c:pt>
                <c:pt idx="1">
                  <c:v>9.9999999999999978E-2</c:v>
                </c:pt>
              </c:numCache>
            </c:numRef>
          </c:val>
          <c:extLst>
            <c:ext xmlns:c16="http://schemas.microsoft.com/office/drawing/2014/chart" uri="{C3380CC4-5D6E-409C-BE32-E72D297353CC}">
              <c16:uniqueId val="{00000003-5F97-4FFA-806F-0AFEC062DD5D}"/>
            </c:ext>
          </c:extLst>
        </c:ser>
        <c:dLbls>
          <c:showLegendKey val="0"/>
          <c:showVal val="0"/>
          <c:showCatName val="0"/>
          <c:showSerName val="0"/>
          <c:showPercent val="0"/>
          <c:showBubbleSize val="0"/>
          <c:showLeaderLines val="1"/>
        </c:dLbls>
        <c:firstSliceAng val="0"/>
      </c:pieChart>
    </c:plotArea>
    <c:plotVisOnly val="1"/>
    <c:dispBlanksAs val="gap"/>
    <c:showDLblsOverMax val="0"/>
  </c:chart>
  <c:spPr>
    <a:noFill/>
    <a:ln>
      <a:noFill/>
    </a:ln>
  </c:spPr>
  <c:printSettings>
    <c:headerFooter/>
    <c:pageMargins b="0.75000000000000111" l="0.70000000000000062" r="0.70000000000000062" t="0.75000000000000111" header="0.30000000000000032" footer="0.30000000000000032"/>
    <c:pageSetup/>
  </c:printSettings>
</c:chartSpace>
</file>

<file path=xl/charts/chart2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1"/>
    </mc:Choice>
    <mc:Fallback>
      <c:style val="1"/>
    </mc:Fallback>
  </mc:AlternateContent>
  <c:chart>
    <c:title>
      <c:tx>
        <c:rich>
          <a:bodyPr/>
          <a:lstStyle/>
          <a:p>
            <a:pPr>
              <a:defRPr sz="1100"/>
            </a:pPr>
            <a:r>
              <a:rPr lang="en-US" sz="1100"/>
              <a:t>Revenue</a:t>
            </a:r>
            <a:r>
              <a:rPr lang="en-US" sz="1100" baseline="0"/>
              <a:t> stratification by Territory (EUR ''000)</a:t>
            </a:r>
            <a:endParaRPr lang="en-US" sz="1100"/>
          </a:p>
        </c:rich>
      </c:tx>
      <c:layout>
        <c:manualLayout>
          <c:xMode val="edge"/>
          <c:yMode val="edge"/>
          <c:x val="0.21404282431676949"/>
          <c:y val="4.1440921916641157E-2"/>
        </c:manualLayout>
      </c:layout>
      <c:overlay val="0"/>
    </c:title>
    <c:autoTitleDeleted val="0"/>
    <c:plotArea>
      <c:layout>
        <c:manualLayout>
          <c:layoutTarget val="inner"/>
          <c:xMode val="edge"/>
          <c:yMode val="edge"/>
          <c:x val="0.21257118656420074"/>
          <c:y val="0.18019038845574495"/>
          <c:w val="0.46922747425831385"/>
          <c:h val="0.7739834745617179"/>
        </c:manualLayout>
      </c:layout>
      <c:pieChart>
        <c:varyColors val="1"/>
        <c:ser>
          <c:idx val="0"/>
          <c:order val="0"/>
          <c:tx>
            <c:strRef>
              <c:f>'4.2 Domestic market stratificat'!$I$43</c:f>
              <c:strCache>
                <c:ptCount val="1"/>
                <c:pt idx="0">
                  <c:v>Revenue
(EUR '000)</c:v>
                </c:pt>
              </c:strCache>
            </c:strRef>
          </c:tx>
          <c:dPt>
            <c:idx val="0"/>
            <c:bubble3D val="0"/>
            <c:spPr>
              <a:solidFill>
                <a:schemeClr val="accent5"/>
              </a:solidFill>
            </c:spPr>
            <c:extLst>
              <c:ext xmlns:c16="http://schemas.microsoft.com/office/drawing/2014/chart" uri="{C3380CC4-5D6E-409C-BE32-E72D297353CC}">
                <c16:uniqueId val="{00000001-6021-44D2-A23F-060E71C87B1D}"/>
              </c:ext>
            </c:extLst>
          </c:dPt>
          <c:dLbls>
            <c:spPr>
              <a:noFill/>
              <a:ln>
                <a:noFill/>
              </a:ln>
              <a:effectLst/>
            </c:spPr>
            <c:dLblPos val="outEnd"/>
            <c:showLegendKey val="0"/>
            <c:showVal val="1"/>
            <c:showCatName val="0"/>
            <c:showSerName val="0"/>
            <c:showPercent val="0"/>
            <c:showBubbleSize val="0"/>
            <c:showLeaderLines val="1"/>
            <c:extLst>
              <c:ext xmlns:c15="http://schemas.microsoft.com/office/drawing/2012/chart" uri="{CE6537A1-D6FC-4f65-9D91-7224C49458BB}"/>
            </c:extLst>
          </c:dLbls>
          <c:cat>
            <c:strRef>
              <c:f>'4.2 Domestic market stratificat'!$H$44:$H$49</c:f>
              <c:strCache>
                <c:ptCount val="6"/>
                <c:pt idx="0">
                  <c:v>Region 1</c:v>
                </c:pt>
                <c:pt idx="1">
                  <c:v>Region 2</c:v>
                </c:pt>
                <c:pt idx="2">
                  <c:v>Region 3</c:v>
                </c:pt>
                <c:pt idx="3">
                  <c:v>Region 4</c:v>
                </c:pt>
                <c:pt idx="4">
                  <c:v>Region 5</c:v>
                </c:pt>
                <c:pt idx="5">
                  <c:v>Region 6</c:v>
                </c:pt>
              </c:strCache>
            </c:strRef>
          </c:cat>
          <c:val>
            <c:numRef>
              <c:f>'4.2 Domestic market stratificat'!$I$44:$I$49</c:f>
              <c:numCache>
                <c:formatCode>General</c:formatCode>
                <c:ptCount val="6"/>
                <c:pt idx="0">
                  <c:v>5000</c:v>
                </c:pt>
                <c:pt idx="1">
                  <c:v>6000</c:v>
                </c:pt>
                <c:pt idx="2">
                  <c:v>4000</c:v>
                </c:pt>
                <c:pt idx="3">
                  <c:v>3000</c:v>
                </c:pt>
                <c:pt idx="4">
                  <c:v>2500</c:v>
                </c:pt>
                <c:pt idx="5">
                  <c:v>2000</c:v>
                </c:pt>
              </c:numCache>
            </c:numRef>
          </c:val>
          <c:extLst>
            <c:ext xmlns:c16="http://schemas.microsoft.com/office/drawing/2014/chart" uri="{C3380CC4-5D6E-409C-BE32-E72D297353CC}">
              <c16:uniqueId val="{00000002-6021-44D2-A23F-060E71C87B1D}"/>
            </c:ext>
          </c:extLst>
        </c:ser>
        <c:dLbls>
          <c:showLegendKey val="0"/>
          <c:showVal val="0"/>
          <c:showCatName val="0"/>
          <c:showSerName val="0"/>
          <c:showPercent val="0"/>
          <c:showBubbleSize val="0"/>
          <c:showLeaderLines val="1"/>
        </c:dLbls>
        <c:firstSliceAng val="0"/>
      </c:pieChart>
    </c:plotArea>
    <c:legend>
      <c:legendPos val="r"/>
      <c:layout>
        <c:manualLayout>
          <c:xMode val="edge"/>
          <c:yMode val="edge"/>
          <c:x val="8.9532581843169163E-3"/>
          <c:y val="0.20764620449739227"/>
          <c:w val="0.1231990331935057"/>
          <c:h val="0.63822844138643564"/>
        </c:manualLayout>
      </c:layout>
      <c:overlay val="0"/>
    </c:legend>
    <c:plotVisOnly val="1"/>
    <c:dispBlanksAs val="gap"/>
    <c:showDLblsOverMax val="0"/>
  </c:chart>
  <c:spPr>
    <a:noFill/>
    <a:ln>
      <a:noFill/>
    </a:ln>
  </c:spPr>
  <c:printSettings>
    <c:headerFooter/>
    <c:pageMargins b="0.75000000000000022" l="0.70000000000000018" r="0.70000000000000018" t="0.75000000000000022" header="0.3000000000000001" footer="0.3000000000000001"/>
    <c:pageSetup/>
  </c:printSettings>
</c:chartSpace>
</file>

<file path=xl/charts/chart3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12"/>
    </mc:Choice>
    <mc:Fallback>
      <c:style val="12"/>
    </mc:Fallback>
  </mc:AlternateContent>
  <c:chart>
    <c:title>
      <c:tx>
        <c:rich>
          <a:bodyPr/>
          <a:lstStyle/>
          <a:p>
            <a:pPr>
              <a:defRPr sz="1000"/>
            </a:pPr>
            <a:r>
              <a:rPr lang="en-US" sz="1000"/>
              <a:t>Stratification by TOP SKUs (Starter batteries</a:t>
            </a:r>
            <a:r>
              <a:rPr lang="en-US" sz="1000" baseline="0"/>
              <a:t>)</a:t>
            </a:r>
            <a:endParaRPr lang="en-US" sz="1000"/>
          </a:p>
        </c:rich>
      </c:tx>
      <c:overlay val="0"/>
    </c:title>
    <c:autoTitleDeleted val="0"/>
    <c:plotArea>
      <c:layout>
        <c:manualLayout>
          <c:layoutTarget val="inner"/>
          <c:xMode val="edge"/>
          <c:yMode val="edge"/>
          <c:x val="0.10786620530565183"/>
          <c:y val="0.12835361976323939"/>
          <c:w val="0.86766040923085364"/>
          <c:h val="0.75405556253071804"/>
        </c:manualLayout>
      </c:layout>
      <c:barChart>
        <c:barDir val="bar"/>
        <c:grouping val="percentStacked"/>
        <c:varyColors val="0"/>
        <c:ser>
          <c:idx val="3"/>
          <c:order val="0"/>
          <c:tx>
            <c:strRef>
              <c:f>'4.3 Domestic product stratif.'!$B$38</c:f>
              <c:strCache>
                <c:ptCount val="1"/>
                <c:pt idx="0">
                  <c:v>SKU 1</c:v>
                </c:pt>
              </c:strCache>
            </c:strRef>
          </c:tx>
          <c:invertIfNegative val="0"/>
          <c:dLbls>
            <c:spPr>
              <a:noFill/>
              <a:ln>
                <a:noFill/>
              </a:ln>
              <a:effectLst/>
            </c:spPr>
            <c:txPr>
              <a:bodyPr/>
              <a:lstStyle/>
              <a:p>
                <a:pPr>
                  <a:defRPr sz="800" b="1"/>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'4.3 Domestic product stratif.'!$C$37:$E$37</c:f>
              <c:strCache>
                <c:ptCount val="3"/>
                <c:pt idx="0">
                  <c:v>Volume (Pcs)</c:v>
                </c:pt>
                <c:pt idx="1">
                  <c:v>Total NC (EUR' 000)</c:v>
                </c:pt>
                <c:pt idx="2">
                  <c:v>Revenue
(EUR '000)</c:v>
                </c:pt>
              </c:strCache>
            </c:strRef>
          </c:cat>
          <c:val>
            <c:numRef>
              <c:f>'4.3 Domestic product stratif.'!$C$38:$E$38</c:f>
              <c:numCache>
                <c:formatCode>General</c:formatCode>
                <c:ptCount val="3"/>
                <c:pt idx="0">
                  <c:v>225</c:v>
                </c:pt>
                <c:pt idx="1">
                  <c:v>51</c:v>
                </c:pt>
                <c:pt idx="2">
                  <c:v>332</c:v>
                </c:pt>
              </c:numCache>
            </c:numRef>
          </c:val>
          <c:extLst>
            <c:ext xmlns:c16="http://schemas.microsoft.com/office/drawing/2014/chart" uri="{C3380CC4-5D6E-409C-BE32-E72D297353CC}">
              <c16:uniqueId val="{00000000-524A-4FFF-A803-30248AC1D51A}"/>
            </c:ext>
          </c:extLst>
        </c:ser>
        <c:ser>
          <c:idx val="2"/>
          <c:order val="1"/>
          <c:tx>
            <c:strRef>
              <c:f>'4.3 Domestic product stratif.'!$B$39</c:f>
              <c:strCache>
                <c:ptCount val="1"/>
                <c:pt idx="0">
                  <c:v>SKU 2</c:v>
                </c:pt>
              </c:strCache>
            </c:strRef>
          </c:tx>
          <c:invertIfNegative val="0"/>
          <c:dLbls>
            <c:spPr>
              <a:noFill/>
              <a:ln>
                <a:noFill/>
              </a:ln>
              <a:effectLst/>
            </c:spPr>
            <c:txPr>
              <a:bodyPr/>
              <a:lstStyle/>
              <a:p>
                <a:pPr>
                  <a:defRPr sz="800"/>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'4.3 Domestic product stratif.'!$C$37:$E$37</c:f>
              <c:strCache>
                <c:ptCount val="3"/>
                <c:pt idx="0">
                  <c:v>Volume (Pcs)</c:v>
                </c:pt>
                <c:pt idx="1">
                  <c:v>Total NC (EUR' 000)</c:v>
                </c:pt>
                <c:pt idx="2">
                  <c:v>Revenue
(EUR '000)</c:v>
                </c:pt>
              </c:strCache>
            </c:strRef>
          </c:cat>
          <c:val>
            <c:numRef>
              <c:f>'4.3 Domestic product stratif.'!$C$39:$E$39</c:f>
              <c:numCache>
                <c:formatCode>General</c:formatCode>
                <c:ptCount val="3"/>
                <c:pt idx="0">
                  <c:v>177</c:v>
                </c:pt>
                <c:pt idx="1">
                  <c:v>48</c:v>
                </c:pt>
                <c:pt idx="2">
                  <c:v>259</c:v>
                </c:pt>
              </c:numCache>
            </c:numRef>
          </c:val>
          <c:extLst>
            <c:ext xmlns:c16="http://schemas.microsoft.com/office/drawing/2014/chart" uri="{C3380CC4-5D6E-409C-BE32-E72D297353CC}">
              <c16:uniqueId val="{00000001-524A-4FFF-A803-30248AC1D51A}"/>
            </c:ext>
          </c:extLst>
        </c:ser>
        <c:ser>
          <c:idx val="1"/>
          <c:order val="2"/>
          <c:tx>
            <c:strRef>
              <c:f>'4.3 Domestic product stratif.'!$B$40</c:f>
              <c:strCache>
                <c:ptCount val="1"/>
                <c:pt idx="0">
                  <c:v>SKU 3</c:v>
                </c:pt>
              </c:strCache>
            </c:strRef>
          </c:tx>
          <c:invertIfNegative val="0"/>
          <c:dLbls>
            <c:dLbl>
              <c:idx val="0"/>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524A-4FFF-A803-30248AC1D51A}"/>
                </c:ext>
              </c:extLst>
            </c:dLbl>
            <c:spPr>
              <a:noFill/>
              <a:ln>
                <a:noFill/>
              </a:ln>
              <a:effectLst/>
            </c:spPr>
            <c:txPr>
              <a:bodyPr/>
              <a:lstStyle/>
              <a:p>
                <a:pPr>
                  <a:defRPr sz="800"/>
                </a:pPr>
                <a:endParaRPr lang="fr-FR"/>
              </a:p>
            </c:txPr>
            <c:showLegendKey val="0"/>
            <c:showVal val="0"/>
            <c:showCatName val="0"/>
            <c:showSerName val="0"/>
            <c:showPercent val="0"/>
            <c:showBubbleSize val="0"/>
            <c:extLst>
              <c:ext xmlns:c15="http://schemas.microsoft.com/office/drawing/2012/chart" uri="{CE6537A1-D6FC-4f65-9D91-7224C49458BB}">
                <c15:showLeaderLines val="0"/>
              </c:ext>
            </c:extLst>
          </c:dLbls>
          <c:cat>
            <c:strRef>
              <c:f>'4.3 Domestic product stratif.'!$C$37:$E$37</c:f>
              <c:strCache>
                <c:ptCount val="3"/>
                <c:pt idx="0">
                  <c:v>Volume (Pcs)</c:v>
                </c:pt>
                <c:pt idx="1">
                  <c:v>Total NC (EUR' 000)</c:v>
                </c:pt>
                <c:pt idx="2">
                  <c:v>Revenue
(EUR '000)</c:v>
                </c:pt>
              </c:strCache>
            </c:strRef>
          </c:cat>
          <c:val>
            <c:numRef>
              <c:f>'4.3 Domestic product stratif.'!$C$40:$E$40</c:f>
              <c:numCache>
                <c:formatCode>General</c:formatCode>
                <c:ptCount val="3"/>
                <c:pt idx="0">
                  <c:v>38</c:v>
                </c:pt>
                <c:pt idx="1">
                  <c:v>13</c:v>
                </c:pt>
                <c:pt idx="2">
                  <c:v>71</c:v>
                </c:pt>
              </c:numCache>
            </c:numRef>
          </c:val>
          <c:extLst>
            <c:ext xmlns:c16="http://schemas.microsoft.com/office/drawing/2014/chart" uri="{C3380CC4-5D6E-409C-BE32-E72D297353CC}">
              <c16:uniqueId val="{00000003-524A-4FFF-A803-30248AC1D51A}"/>
            </c:ext>
          </c:extLst>
        </c:ser>
        <c:ser>
          <c:idx val="0"/>
          <c:order val="3"/>
          <c:tx>
            <c:strRef>
              <c:f>'4.3 Domestic product stratif.'!$B$41</c:f>
              <c:strCache>
                <c:ptCount val="1"/>
                <c:pt idx="0">
                  <c:v>SKU 4</c:v>
                </c:pt>
              </c:strCache>
            </c:strRef>
          </c:tx>
          <c:invertIfNegative val="0"/>
          <c:dLbls>
            <c:spPr>
              <a:noFill/>
              <a:ln>
                <a:noFill/>
              </a:ln>
              <a:effectLst/>
            </c:spPr>
            <c:txPr>
              <a:bodyPr/>
              <a:lstStyle/>
              <a:p>
                <a:pPr>
                  <a:defRPr sz="800"/>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'4.3 Domestic product stratif.'!$C$37:$E$37</c:f>
              <c:strCache>
                <c:ptCount val="3"/>
                <c:pt idx="0">
                  <c:v>Volume (Pcs)</c:v>
                </c:pt>
                <c:pt idx="1">
                  <c:v>Total NC (EUR' 000)</c:v>
                </c:pt>
                <c:pt idx="2">
                  <c:v>Revenue
(EUR '000)</c:v>
                </c:pt>
              </c:strCache>
            </c:strRef>
          </c:cat>
          <c:val>
            <c:numRef>
              <c:f>'4.3 Domestic product stratif.'!$C$41:$E$41</c:f>
              <c:numCache>
                <c:formatCode>General</c:formatCode>
                <c:ptCount val="3"/>
                <c:pt idx="0">
                  <c:v>179</c:v>
                </c:pt>
                <c:pt idx="1">
                  <c:v>41</c:v>
                </c:pt>
                <c:pt idx="2">
                  <c:v>263</c:v>
                </c:pt>
              </c:numCache>
            </c:numRef>
          </c:val>
          <c:extLst>
            <c:ext xmlns:c16="http://schemas.microsoft.com/office/drawing/2014/chart" uri="{C3380CC4-5D6E-409C-BE32-E72D297353CC}">
              <c16:uniqueId val="{00000004-524A-4FFF-A803-30248AC1D51A}"/>
            </c:ext>
          </c:extLst>
        </c:ser>
        <c:ser>
          <c:idx val="4"/>
          <c:order val="4"/>
          <c:tx>
            <c:strRef>
              <c:f>'4.3 Domestic product stratif.'!$B$42</c:f>
              <c:strCache>
                <c:ptCount val="1"/>
                <c:pt idx="0">
                  <c:v>SKU 5</c:v>
                </c:pt>
              </c:strCache>
            </c:strRef>
          </c:tx>
          <c:invertIfNegative val="0"/>
          <c:dLbls>
            <c:spPr>
              <a:noFill/>
              <a:ln>
                <a:noFill/>
              </a:ln>
              <a:effectLst/>
            </c:spPr>
            <c:txPr>
              <a:bodyPr/>
              <a:lstStyle/>
              <a:p>
                <a:pPr>
                  <a:defRPr sz="800"/>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'4.3 Domestic product stratif.'!$C$37:$E$37</c:f>
              <c:strCache>
                <c:ptCount val="3"/>
                <c:pt idx="0">
                  <c:v>Volume (Pcs)</c:v>
                </c:pt>
                <c:pt idx="1">
                  <c:v>Total NC (EUR' 000)</c:v>
                </c:pt>
                <c:pt idx="2">
                  <c:v>Revenue
(EUR '000)</c:v>
                </c:pt>
              </c:strCache>
            </c:strRef>
          </c:cat>
          <c:val>
            <c:numRef>
              <c:f>'4.3 Domestic product stratif.'!$C$42:$E$42</c:f>
              <c:numCache>
                <c:formatCode>General</c:formatCode>
                <c:ptCount val="3"/>
                <c:pt idx="0">
                  <c:v>60</c:v>
                </c:pt>
                <c:pt idx="1">
                  <c:v>29</c:v>
                </c:pt>
                <c:pt idx="2">
                  <c:v>93</c:v>
                </c:pt>
              </c:numCache>
            </c:numRef>
          </c:val>
          <c:extLst>
            <c:ext xmlns:c16="http://schemas.microsoft.com/office/drawing/2014/chart" uri="{C3380CC4-5D6E-409C-BE32-E72D297353CC}">
              <c16:uniqueId val="{00000005-524A-4FFF-A803-30248AC1D51A}"/>
            </c:ext>
          </c:extLst>
        </c:ser>
        <c:ser>
          <c:idx val="5"/>
          <c:order val="5"/>
          <c:tx>
            <c:strRef>
              <c:f>'4.3 Domestic product stratif.'!$B$43</c:f>
              <c:strCache>
                <c:ptCount val="1"/>
                <c:pt idx="0">
                  <c:v>SKU 6</c:v>
                </c:pt>
              </c:strCache>
            </c:strRef>
          </c:tx>
          <c:invertIfNegative val="0"/>
          <c:dLbls>
            <c:spPr>
              <a:noFill/>
              <a:ln>
                <a:noFill/>
              </a:ln>
              <a:effectLst/>
            </c:spPr>
            <c:txPr>
              <a:bodyPr/>
              <a:lstStyle/>
              <a:p>
                <a:pPr>
                  <a:defRPr sz="800"/>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'4.3 Domestic product stratif.'!$C$37:$E$37</c:f>
              <c:strCache>
                <c:ptCount val="3"/>
                <c:pt idx="0">
                  <c:v>Volume (Pcs)</c:v>
                </c:pt>
                <c:pt idx="1">
                  <c:v>Total NC (EUR' 000)</c:v>
                </c:pt>
                <c:pt idx="2">
                  <c:v>Revenue
(EUR '000)</c:v>
                </c:pt>
              </c:strCache>
            </c:strRef>
          </c:cat>
          <c:val>
            <c:numRef>
              <c:f>'4.3 Domestic product stratif.'!$C$43:$E$43</c:f>
              <c:numCache>
                <c:formatCode>General</c:formatCode>
                <c:ptCount val="3"/>
                <c:pt idx="0">
                  <c:v>64</c:v>
                </c:pt>
                <c:pt idx="1">
                  <c:v>9</c:v>
                </c:pt>
                <c:pt idx="2">
                  <c:v>108</c:v>
                </c:pt>
              </c:numCache>
            </c:numRef>
          </c:val>
          <c:extLst>
            <c:ext xmlns:c16="http://schemas.microsoft.com/office/drawing/2014/chart" uri="{C3380CC4-5D6E-409C-BE32-E72D297353CC}">
              <c16:uniqueId val="{00000006-524A-4FFF-A803-30248AC1D51A}"/>
            </c:ext>
          </c:extLst>
        </c:ser>
        <c:ser>
          <c:idx val="6"/>
          <c:order val="6"/>
          <c:tx>
            <c:strRef>
              <c:f>'4.3 Domestic product stratif.'!$B$44</c:f>
              <c:strCache>
                <c:ptCount val="1"/>
                <c:pt idx="0">
                  <c:v>SKU 7</c:v>
                </c:pt>
              </c:strCache>
            </c:strRef>
          </c:tx>
          <c:invertIfNegative val="0"/>
          <c:dLbls>
            <c:spPr>
              <a:noFill/>
              <a:ln>
                <a:noFill/>
              </a:ln>
              <a:effectLst/>
            </c:spPr>
            <c:txPr>
              <a:bodyPr/>
              <a:lstStyle/>
              <a:p>
                <a:pPr>
                  <a:defRPr sz="800" b="1"/>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'4.3 Domestic product stratif.'!$C$37:$E$37</c:f>
              <c:strCache>
                <c:ptCount val="3"/>
                <c:pt idx="0">
                  <c:v>Volume (Pcs)</c:v>
                </c:pt>
                <c:pt idx="1">
                  <c:v>Total NC (EUR' 000)</c:v>
                </c:pt>
                <c:pt idx="2">
                  <c:v>Revenue
(EUR '000)</c:v>
                </c:pt>
              </c:strCache>
            </c:strRef>
          </c:cat>
          <c:val>
            <c:numRef>
              <c:f>'4.3 Domestic product stratif.'!$C$44:$E$44</c:f>
              <c:numCache>
                <c:formatCode>General</c:formatCode>
                <c:ptCount val="3"/>
                <c:pt idx="0">
                  <c:v>328</c:v>
                </c:pt>
                <c:pt idx="1">
                  <c:v>37</c:v>
                </c:pt>
                <c:pt idx="2">
                  <c:v>507</c:v>
                </c:pt>
              </c:numCache>
            </c:numRef>
          </c:val>
          <c:extLst>
            <c:ext xmlns:c16="http://schemas.microsoft.com/office/drawing/2014/chart" uri="{C3380CC4-5D6E-409C-BE32-E72D297353CC}">
              <c16:uniqueId val="{00000007-524A-4FFF-A803-30248AC1D51A}"/>
            </c:ext>
          </c:extLst>
        </c:ser>
        <c:ser>
          <c:idx val="7"/>
          <c:order val="7"/>
          <c:tx>
            <c:strRef>
              <c:f>'4.3 Domestic product stratif.'!$B$45</c:f>
              <c:strCache>
                <c:ptCount val="1"/>
                <c:pt idx="0">
                  <c:v>SKU 8</c:v>
                </c:pt>
              </c:strCache>
            </c:strRef>
          </c:tx>
          <c:invertIfNegative val="0"/>
          <c:dLbls>
            <c:spPr>
              <a:noFill/>
              <a:ln>
                <a:noFill/>
              </a:ln>
              <a:effectLst/>
            </c:spPr>
            <c:txPr>
              <a:bodyPr/>
              <a:lstStyle/>
              <a:p>
                <a:pPr>
                  <a:defRPr sz="800" b="1"/>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'4.3 Domestic product stratif.'!$C$37:$E$37</c:f>
              <c:strCache>
                <c:ptCount val="3"/>
                <c:pt idx="0">
                  <c:v>Volume (Pcs)</c:v>
                </c:pt>
                <c:pt idx="1">
                  <c:v>Total NC (EUR' 000)</c:v>
                </c:pt>
                <c:pt idx="2">
                  <c:v>Revenue
(EUR '000)</c:v>
                </c:pt>
              </c:strCache>
            </c:strRef>
          </c:cat>
          <c:val>
            <c:numRef>
              <c:f>'4.3 Domestic product stratif.'!$C$45:$E$45</c:f>
              <c:numCache>
                <c:formatCode>General</c:formatCode>
                <c:ptCount val="3"/>
                <c:pt idx="0">
                  <c:v>401</c:v>
                </c:pt>
                <c:pt idx="1">
                  <c:v>49</c:v>
                </c:pt>
                <c:pt idx="2">
                  <c:v>668</c:v>
                </c:pt>
              </c:numCache>
            </c:numRef>
          </c:val>
          <c:extLst>
            <c:ext xmlns:c16="http://schemas.microsoft.com/office/drawing/2014/chart" uri="{C3380CC4-5D6E-409C-BE32-E72D297353CC}">
              <c16:uniqueId val="{00000008-524A-4FFF-A803-30248AC1D51A}"/>
            </c:ext>
          </c:extLst>
        </c:ser>
        <c:ser>
          <c:idx val="8"/>
          <c:order val="8"/>
          <c:tx>
            <c:strRef>
              <c:f>'4.3 Domestic product stratif.'!$B$46</c:f>
              <c:strCache>
                <c:ptCount val="1"/>
                <c:pt idx="0">
                  <c:v>SKU 9</c:v>
                </c:pt>
              </c:strCache>
            </c:strRef>
          </c:tx>
          <c:invertIfNegative val="0"/>
          <c:cat>
            <c:strRef>
              <c:f>'4.3 Domestic product stratif.'!$C$37:$E$37</c:f>
              <c:strCache>
                <c:ptCount val="3"/>
                <c:pt idx="0">
                  <c:v>Volume (Pcs)</c:v>
                </c:pt>
                <c:pt idx="1">
                  <c:v>Total NC (EUR' 000)</c:v>
                </c:pt>
                <c:pt idx="2">
                  <c:v>Revenue
(EUR '000)</c:v>
                </c:pt>
              </c:strCache>
            </c:strRef>
          </c:cat>
          <c:val>
            <c:numRef>
              <c:f>'4.3 Domestic product stratif.'!$C$46:$E$46</c:f>
              <c:numCache>
                <c:formatCode>General</c:formatCode>
                <c:ptCount val="3"/>
                <c:pt idx="0">
                  <c:v>0</c:v>
                </c:pt>
                <c:pt idx="1">
                  <c:v>0</c:v>
                </c:pt>
                <c:pt idx="2">
                  <c:v>0</c:v>
                </c:pt>
              </c:numCache>
            </c:numRef>
          </c:val>
          <c:extLst>
            <c:ext xmlns:c16="http://schemas.microsoft.com/office/drawing/2014/chart" uri="{C3380CC4-5D6E-409C-BE32-E72D297353CC}">
              <c16:uniqueId val="{00000009-524A-4FFF-A803-30248AC1D51A}"/>
            </c:ext>
          </c:extLst>
        </c:ser>
        <c:ser>
          <c:idx val="9"/>
          <c:order val="9"/>
          <c:tx>
            <c:strRef>
              <c:f>'4.3 Domestic product stratif.'!$B$47</c:f>
              <c:strCache>
                <c:ptCount val="1"/>
                <c:pt idx="0">
                  <c:v>SKU 10</c:v>
                </c:pt>
              </c:strCache>
            </c:strRef>
          </c:tx>
          <c:invertIfNegative val="0"/>
          <c:cat>
            <c:strRef>
              <c:f>'4.3 Domestic product stratif.'!$C$37:$E$37</c:f>
              <c:strCache>
                <c:ptCount val="3"/>
                <c:pt idx="0">
                  <c:v>Volume (Pcs)</c:v>
                </c:pt>
                <c:pt idx="1">
                  <c:v>Total NC (EUR' 000)</c:v>
                </c:pt>
                <c:pt idx="2">
                  <c:v>Revenue
(EUR '000)</c:v>
                </c:pt>
              </c:strCache>
            </c:strRef>
          </c:cat>
          <c:val>
            <c:numRef>
              <c:f>'4.3 Domestic product stratif.'!$C$47:$E$47</c:f>
              <c:numCache>
                <c:formatCode>General</c:formatCode>
                <c:ptCount val="3"/>
                <c:pt idx="0">
                  <c:v>0</c:v>
                </c:pt>
                <c:pt idx="1">
                  <c:v>0</c:v>
                </c:pt>
                <c:pt idx="2">
                  <c:v>0</c:v>
                </c:pt>
              </c:numCache>
            </c:numRef>
          </c:val>
          <c:extLst>
            <c:ext xmlns:c16="http://schemas.microsoft.com/office/drawing/2014/chart" uri="{C3380CC4-5D6E-409C-BE32-E72D297353CC}">
              <c16:uniqueId val="{0000000A-524A-4FFF-A803-30248AC1D51A}"/>
            </c:ext>
          </c:extLst>
        </c:ser>
        <c:ser>
          <c:idx val="10"/>
          <c:order val="10"/>
          <c:tx>
            <c:strRef>
              <c:f>'4.3 Domestic product stratif.'!$B$48</c:f>
              <c:strCache>
                <c:ptCount val="1"/>
                <c:pt idx="0">
                  <c:v>SKU 11</c:v>
                </c:pt>
              </c:strCache>
            </c:strRef>
          </c:tx>
          <c:invertIfNegative val="0"/>
          <c:cat>
            <c:strRef>
              <c:f>'4.3 Domestic product stratif.'!$C$37:$E$37</c:f>
              <c:strCache>
                <c:ptCount val="3"/>
                <c:pt idx="0">
                  <c:v>Volume (Pcs)</c:v>
                </c:pt>
                <c:pt idx="1">
                  <c:v>Total NC (EUR' 000)</c:v>
                </c:pt>
                <c:pt idx="2">
                  <c:v>Revenue
(EUR '000)</c:v>
                </c:pt>
              </c:strCache>
            </c:strRef>
          </c:cat>
          <c:val>
            <c:numRef>
              <c:f>'4.3 Domestic product stratif.'!$C$48:$E$48</c:f>
              <c:numCache>
                <c:formatCode>General</c:formatCode>
                <c:ptCount val="3"/>
                <c:pt idx="0">
                  <c:v>0</c:v>
                </c:pt>
                <c:pt idx="1">
                  <c:v>0</c:v>
                </c:pt>
                <c:pt idx="2">
                  <c:v>0</c:v>
                </c:pt>
              </c:numCache>
            </c:numRef>
          </c:val>
          <c:extLst>
            <c:ext xmlns:c16="http://schemas.microsoft.com/office/drawing/2014/chart" uri="{C3380CC4-5D6E-409C-BE32-E72D297353CC}">
              <c16:uniqueId val="{0000000B-524A-4FFF-A803-30248AC1D51A}"/>
            </c:ext>
          </c:extLst>
        </c:ser>
        <c:ser>
          <c:idx val="11"/>
          <c:order val="11"/>
          <c:tx>
            <c:strRef>
              <c:f>'4.3 Domestic product stratif.'!$B$49</c:f>
              <c:strCache>
                <c:ptCount val="1"/>
                <c:pt idx="0">
                  <c:v>SKU 12</c:v>
                </c:pt>
              </c:strCache>
            </c:strRef>
          </c:tx>
          <c:invertIfNegative val="0"/>
          <c:dLbls>
            <c:spPr>
              <a:noFill/>
              <a:ln>
                <a:noFill/>
              </a:ln>
              <a:effectLst/>
            </c:spPr>
            <c:txPr>
              <a:bodyPr/>
              <a:lstStyle/>
              <a:p>
                <a:pPr>
                  <a:defRPr sz="800" b="1"/>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'4.3 Domestic product stratif.'!$C$37:$E$37</c:f>
              <c:strCache>
                <c:ptCount val="3"/>
                <c:pt idx="0">
                  <c:v>Volume (Pcs)</c:v>
                </c:pt>
                <c:pt idx="1">
                  <c:v>Total NC (EUR' 000)</c:v>
                </c:pt>
                <c:pt idx="2">
                  <c:v>Revenue
(EUR '000)</c:v>
                </c:pt>
              </c:strCache>
            </c:strRef>
          </c:cat>
          <c:val>
            <c:numRef>
              <c:f>'4.3 Domestic product stratif.'!$C$49:$E$49</c:f>
              <c:numCache>
                <c:formatCode>General</c:formatCode>
                <c:ptCount val="3"/>
                <c:pt idx="0">
                  <c:v>94</c:v>
                </c:pt>
                <c:pt idx="1">
                  <c:v>95</c:v>
                </c:pt>
                <c:pt idx="2">
                  <c:v>214</c:v>
                </c:pt>
              </c:numCache>
            </c:numRef>
          </c:val>
          <c:extLst>
            <c:ext xmlns:c16="http://schemas.microsoft.com/office/drawing/2014/chart" uri="{C3380CC4-5D6E-409C-BE32-E72D297353CC}">
              <c16:uniqueId val="{0000000C-524A-4FFF-A803-30248AC1D51A}"/>
            </c:ext>
          </c:extLst>
        </c:ser>
        <c:ser>
          <c:idx val="12"/>
          <c:order val="12"/>
          <c:tx>
            <c:strRef>
              <c:f>'4.3 Domestic product stratif.'!$B$50</c:f>
              <c:strCache>
                <c:ptCount val="1"/>
                <c:pt idx="0">
                  <c:v>SKU 13</c:v>
                </c:pt>
              </c:strCache>
            </c:strRef>
          </c:tx>
          <c:invertIfNegative val="0"/>
          <c:cat>
            <c:strRef>
              <c:f>'4.3 Domestic product stratif.'!$C$37:$E$37</c:f>
              <c:strCache>
                <c:ptCount val="3"/>
                <c:pt idx="0">
                  <c:v>Volume (Pcs)</c:v>
                </c:pt>
                <c:pt idx="1">
                  <c:v>Total NC (EUR' 000)</c:v>
                </c:pt>
                <c:pt idx="2">
                  <c:v>Revenue
(EUR '000)</c:v>
                </c:pt>
              </c:strCache>
            </c:strRef>
          </c:cat>
          <c:val>
            <c:numRef>
              <c:f>'4.3 Domestic product stratif.'!$C$50:$E$50</c:f>
              <c:numCache>
                <c:formatCode>General</c:formatCode>
                <c:ptCount val="3"/>
                <c:pt idx="0">
                  <c:v>0</c:v>
                </c:pt>
                <c:pt idx="1">
                  <c:v>0</c:v>
                </c:pt>
                <c:pt idx="2">
                  <c:v>0</c:v>
                </c:pt>
              </c:numCache>
            </c:numRef>
          </c:val>
          <c:extLst>
            <c:ext xmlns:c16="http://schemas.microsoft.com/office/drawing/2014/chart" uri="{C3380CC4-5D6E-409C-BE32-E72D297353CC}">
              <c16:uniqueId val="{0000000D-524A-4FFF-A803-30248AC1D51A}"/>
            </c:ext>
          </c:extLst>
        </c:ser>
        <c:ser>
          <c:idx val="13"/>
          <c:order val="13"/>
          <c:tx>
            <c:strRef>
              <c:f>'4.3 Domestic product stratif.'!$B$51</c:f>
              <c:strCache>
                <c:ptCount val="1"/>
                <c:pt idx="0">
                  <c:v>SKU 14</c:v>
                </c:pt>
              </c:strCache>
            </c:strRef>
          </c:tx>
          <c:invertIfNegative val="0"/>
          <c:cat>
            <c:strRef>
              <c:f>'4.3 Domestic product stratif.'!$C$37:$E$37</c:f>
              <c:strCache>
                <c:ptCount val="3"/>
                <c:pt idx="0">
                  <c:v>Volume (Pcs)</c:v>
                </c:pt>
                <c:pt idx="1">
                  <c:v>Total NC (EUR' 000)</c:v>
                </c:pt>
                <c:pt idx="2">
                  <c:v>Revenue
(EUR '000)</c:v>
                </c:pt>
              </c:strCache>
            </c:strRef>
          </c:cat>
          <c:val>
            <c:numRef>
              <c:f>'4.3 Domestic product stratif.'!$C$51:$E$51</c:f>
              <c:numCache>
                <c:formatCode>General</c:formatCode>
                <c:ptCount val="3"/>
                <c:pt idx="0">
                  <c:v>0</c:v>
                </c:pt>
                <c:pt idx="1">
                  <c:v>0</c:v>
                </c:pt>
                <c:pt idx="2">
                  <c:v>0</c:v>
                </c:pt>
              </c:numCache>
            </c:numRef>
          </c:val>
          <c:extLst>
            <c:ext xmlns:c16="http://schemas.microsoft.com/office/drawing/2014/chart" uri="{C3380CC4-5D6E-409C-BE32-E72D297353CC}">
              <c16:uniqueId val="{0000000E-524A-4FFF-A803-30248AC1D51A}"/>
            </c:ext>
          </c:extLst>
        </c:ser>
        <c:dLbls>
          <c:showLegendKey val="0"/>
          <c:showVal val="0"/>
          <c:showCatName val="0"/>
          <c:showSerName val="0"/>
          <c:showPercent val="0"/>
          <c:showBubbleSize val="0"/>
        </c:dLbls>
        <c:gapWidth val="54"/>
        <c:overlap val="100"/>
        <c:serLines/>
        <c:axId val="54075392"/>
        <c:axId val="54076928"/>
      </c:barChart>
      <c:catAx>
        <c:axId val="54075392"/>
        <c:scaling>
          <c:orientation val="minMax"/>
        </c:scaling>
        <c:delete val="0"/>
        <c:axPos val="l"/>
        <c:numFmt formatCode="General" sourceLinked="1"/>
        <c:majorTickMark val="none"/>
        <c:minorTickMark val="none"/>
        <c:tickLblPos val="nextTo"/>
        <c:txPr>
          <a:bodyPr/>
          <a:lstStyle/>
          <a:p>
            <a:pPr>
              <a:defRPr sz="800" b="1"/>
            </a:pPr>
            <a:endParaRPr lang="fr-FR"/>
          </a:p>
        </c:txPr>
        <c:crossAx val="54076928"/>
        <c:crosses val="autoZero"/>
        <c:auto val="1"/>
        <c:lblAlgn val="ctr"/>
        <c:lblOffset val="100"/>
        <c:noMultiLvlLbl val="0"/>
      </c:catAx>
      <c:valAx>
        <c:axId val="54076928"/>
        <c:scaling>
          <c:orientation val="minMax"/>
        </c:scaling>
        <c:delete val="1"/>
        <c:axPos val="b"/>
        <c:majorGridlines/>
        <c:numFmt formatCode="0%" sourceLinked="1"/>
        <c:majorTickMark val="out"/>
        <c:minorTickMark val="none"/>
        <c:tickLblPos val="none"/>
        <c:crossAx val="54075392"/>
        <c:crosses val="autoZero"/>
        <c:crossBetween val="between"/>
      </c:valAx>
      <c:spPr>
        <a:noFill/>
      </c:spPr>
    </c:plotArea>
    <c:legend>
      <c:legendPos val="r"/>
      <c:layout>
        <c:manualLayout>
          <c:xMode val="edge"/>
          <c:yMode val="edge"/>
          <c:x val="0"/>
          <c:y val="0.88980862255871018"/>
          <c:w val="1"/>
          <c:h val="9.0084024152082873E-2"/>
        </c:manualLayout>
      </c:layout>
      <c:overlay val="0"/>
      <c:txPr>
        <a:bodyPr/>
        <a:lstStyle/>
        <a:p>
          <a:pPr>
            <a:defRPr sz="600"/>
          </a:pPr>
          <a:endParaRPr lang="fr-FR"/>
        </a:p>
      </c:txPr>
    </c:legend>
    <c:plotVisOnly val="1"/>
    <c:dispBlanksAs val="gap"/>
    <c:showDLblsOverMax val="0"/>
  </c:chart>
  <c:spPr>
    <a:noFill/>
    <a:ln>
      <a:noFill/>
    </a:ln>
  </c:spPr>
  <c:printSettings>
    <c:headerFooter/>
    <c:pageMargins b="0.75000000000000189" l="0.70000000000000062" r="0.70000000000000062" t="0.75000000000000189" header="0.30000000000000032" footer="0.30000000000000032"/>
    <c:pageSetup/>
  </c:printSettings>
</c:chartSpace>
</file>

<file path=xl/charts/chart3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12"/>
    </mc:Choice>
    <mc:Fallback>
      <c:style val="12"/>
    </mc:Fallback>
  </mc:AlternateContent>
  <c:chart>
    <c:title>
      <c:tx>
        <c:rich>
          <a:bodyPr/>
          <a:lstStyle/>
          <a:p>
            <a:pPr>
              <a:defRPr sz="1000"/>
            </a:pPr>
            <a:r>
              <a:rPr lang="en-US" sz="1000"/>
              <a:t>Top 14</a:t>
            </a:r>
            <a:r>
              <a:rPr lang="en-US" sz="1000" baseline="0"/>
              <a:t> SKUs coverage</a:t>
            </a:r>
            <a:endParaRPr lang="en-US" sz="1000"/>
          </a:p>
        </c:rich>
      </c:tx>
      <c:overlay val="0"/>
    </c:title>
    <c:autoTitleDeleted val="0"/>
    <c:plotArea>
      <c:layout>
        <c:manualLayout>
          <c:layoutTarget val="inner"/>
          <c:xMode val="edge"/>
          <c:yMode val="edge"/>
          <c:x val="1.7236801681357165E-2"/>
          <c:y val="0.12835361976323933"/>
          <c:w val="0.95828994444575577"/>
          <c:h val="0.74902916682039111"/>
        </c:manualLayout>
      </c:layout>
      <c:barChart>
        <c:barDir val="bar"/>
        <c:grouping val="percentStacked"/>
        <c:varyColors val="0"/>
        <c:ser>
          <c:idx val="3"/>
          <c:order val="0"/>
          <c:tx>
            <c:strRef>
              <c:f>'4.3 Domestic product stratif.'!$B$55</c:f>
              <c:strCache>
                <c:ptCount val="1"/>
                <c:pt idx="0">
                  <c:v>Coverage TOP 14 SKUs</c:v>
                </c:pt>
              </c:strCache>
            </c:strRef>
          </c:tx>
          <c:spPr>
            <a:solidFill>
              <a:schemeClr val="tx1">
                <a:lumMod val="50000"/>
                <a:lumOff val="50000"/>
              </a:schemeClr>
            </a:solidFill>
          </c:spPr>
          <c:invertIfNegative val="0"/>
          <c:dLbls>
            <c:spPr>
              <a:noFill/>
              <a:ln>
                <a:noFill/>
              </a:ln>
              <a:effectLst/>
            </c:spPr>
            <c:txPr>
              <a:bodyPr/>
              <a:lstStyle/>
              <a:p>
                <a:pPr>
                  <a:defRPr sz="800" b="1">
                    <a:solidFill>
                      <a:schemeClr val="bg1"/>
                    </a:solidFill>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'4.3 Domestic product stratif.'!$C$53:$E$53</c:f>
              <c:numCache>
                <c:formatCode>General</c:formatCode>
                <c:ptCount val="3"/>
              </c:numCache>
            </c:numRef>
          </c:cat>
          <c:val>
            <c:numRef>
              <c:f>'4.3 Domestic product stratif.'!$C$55:$E$55</c:f>
              <c:numCache>
                <c:formatCode>0%</c:formatCode>
                <c:ptCount val="3"/>
                <c:pt idx="0">
                  <c:v>0.87</c:v>
                </c:pt>
                <c:pt idx="1">
                  <c:v>0.93</c:v>
                </c:pt>
                <c:pt idx="2">
                  <c:v>0.78593749999999996</c:v>
                </c:pt>
              </c:numCache>
            </c:numRef>
          </c:val>
          <c:extLst>
            <c:ext xmlns:c16="http://schemas.microsoft.com/office/drawing/2014/chart" uri="{C3380CC4-5D6E-409C-BE32-E72D297353CC}">
              <c16:uniqueId val="{00000000-8440-4F45-B0EE-417A4E5DA396}"/>
            </c:ext>
          </c:extLst>
        </c:ser>
        <c:dLbls>
          <c:showLegendKey val="0"/>
          <c:showVal val="0"/>
          <c:showCatName val="0"/>
          <c:showSerName val="0"/>
          <c:showPercent val="0"/>
          <c:showBubbleSize val="0"/>
        </c:dLbls>
        <c:gapWidth val="54"/>
        <c:overlap val="100"/>
        <c:serLines/>
        <c:axId val="54106368"/>
        <c:axId val="54108160"/>
      </c:barChart>
      <c:catAx>
        <c:axId val="54106368"/>
        <c:scaling>
          <c:orientation val="minMax"/>
        </c:scaling>
        <c:delete val="1"/>
        <c:axPos val="l"/>
        <c:numFmt formatCode="General" sourceLinked="1"/>
        <c:majorTickMark val="none"/>
        <c:minorTickMark val="none"/>
        <c:tickLblPos val="none"/>
        <c:crossAx val="54108160"/>
        <c:crosses val="autoZero"/>
        <c:auto val="1"/>
        <c:lblAlgn val="ctr"/>
        <c:lblOffset val="100"/>
        <c:noMultiLvlLbl val="0"/>
      </c:catAx>
      <c:valAx>
        <c:axId val="54108160"/>
        <c:scaling>
          <c:orientation val="minMax"/>
        </c:scaling>
        <c:delete val="1"/>
        <c:axPos val="b"/>
        <c:majorGridlines/>
        <c:numFmt formatCode="0%" sourceLinked="1"/>
        <c:majorTickMark val="out"/>
        <c:minorTickMark val="none"/>
        <c:tickLblPos val="none"/>
        <c:crossAx val="54106368"/>
        <c:crosses val="autoZero"/>
        <c:crossBetween val="between"/>
      </c:valAx>
      <c:spPr>
        <a:noFill/>
      </c:spPr>
    </c:plotArea>
    <c:plotVisOnly val="1"/>
    <c:dispBlanksAs val="gap"/>
    <c:showDLblsOverMax val="0"/>
  </c:chart>
  <c:spPr>
    <a:noFill/>
    <a:ln>
      <a:noFill/>
    </a:ln>
  </c:spPr>
  <c:printSettings>
    <c:headerFooter/>
    <c:pageMargins b="0.75000000000000211" l="0.70000000000000062" r="0.70000000000000062" t="0.75000000000000211" header="0.30000000000000032" footer="0.30000000000000032"/>
    <c:pageSetup/>
  </c:printSettings>
</c:chartSpace>
</file>

<file path=xl/charts/chart3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00"/>
            </a:pPr>
            <a:r>
              <a:rPr lang="en-US" sz="1000"/>
              <a:t>Matched</a:t>
            </a:r>
            <a:r>
              <a:rPr lang="en-US" sz="1000" baseline="0"/>
              <a:t> volune target</a:t>
            </a:r>
            <a:r>
              <a:rPr lang="en-US" sz="1000"/>
              <a:t>(%)</a:t>
            </a:r>
          </a:p>
        </c:rich>
      </c:tx>
      <c:layout>
        <c:manualLayout>
          <c:xMode val="edge"/>
          <c:yMode val="edge"/>
          <c:x val="0.22955820029538368"/>
          <c:y val="9.3440262560288548E-2"/>
        </c:manualLayout>
      </c:layout>
      <c:overlay val="0"/>
    </c:title>
    <c:autoTitleDeleted val="0"/>
    <c:plotArea>
      <c:layout>
        <c:manualLayout>
          <c:layoutTarget val="inner"/>
          <c:xMode val="edge"/>
          <c:yMode val="edge"/>
          <c:x val="0.19736173497700371"/>
          <c:y val="0.21998877250945845"/>
          <c:w val="0.62108480682166212"/>
          <c:h val="0.74385704768881944"/>
        </c:manualLayout>
      </c:layout>
      <c:pieChart>
        <c:varyColors val="1"/>
        <c:ser>
          <c:idx val="0"/>
          <c:order val="0"/>
          <c:spPr>
            <a:ln w="57150">
              <a:solidFill>
                <a:schemeClr val="accent5"/>
              </a:solidFill>
            </a:ln>
          </c:spPr>
          <c:dPt>
            <c:idx val="1"/>
            <c:bubble3D val="0"/>
            <c:spPr>
              <a:solidFill>
                <a:sysClr val="window" lastClr="FFFFFF"/>
              </a:solidFill>
              <a:ln w="57150">
                <a:solidFill>
                  <a:schemeClr val="accent5"/>
                </a:solidFill>
              </a:ln>
            </c:spPr>
            <c:extLst>
              <c:ext xmlns:c16="http://schemas.microsoft.com/office/drawing/2014/chart" uri="{C3380CC4-5D6E-409C-BE32-E72D297353CC}">
                <c16:uniqueId val="{00000001-7150-4659-A7C6-A5AD059131ED}"/>
              </c:ext>
            </c:extLst>
          </c:dPt>
          <c:dLbls>
            <c:dLbl>
              <c:idx val="0"/>
              <c:spPr/>
              <c:txPr>
                <a:bodyPr/>
                <a:lstStyle/>
                <a:p>
                  <a:pPr>
                    <a:defRPr b="1">
                      <a:solidFill>
                        <a:schemeClr val="bg1"/>
                      </a:solidFill>
                    </a:defRPr>
                  </a:pPr>
                  <a:endParaRPr lang="fr-FR"/>
                </a:p>
              </c:txPr>
              <c:dLblPos val="ctr"/>
              <c:showLegendKey val="0"/>
              <c:showVal val="1"/>
              <c:showCatName val="0"/>
              <c:showSerName val="0"/>
              <c:showPercent val="0"/>
              <c:showBubbleSize val="0"/>
              <c:extLst>
                <c:ext xmlns:c16="http://schemas.microsoft.com/office/drawing/2014/chart" uri="{C3380CC4-5D6E-409C-BE32-E72D297353CC}">
                  <c16:uniqueId val="{00000002-7150-4659-A7C6-A5AD059131ED}"/>
                </c:ext>
              </c:extLst>
            </c:dLbl>
            <c:dLbl>
              <c:idx val="1"/>
              <c:delete val="1"/>
              <c:extLst>
                <c:ext xmlns:c15="http://schemas.microsoft.com/office/drawing/2012/chart" uri="{CE6537A1-D6FC-4f65-9D91-7224C49458BB}"/>
                <c:ext xmlns:c16="http://schemas.microsoft.com/office/drawing/2014/chart" uri="{C3380CC4-5D6E-409C-BE32-E72D297353CC}">
                  <c16:uniqueId val="{00000001-7150-4659-A7C6-A5AD059131ED}"/>
                </c:ext>
              </c:extLst>
            </c:dLbl>
            <c:spPr>
              <a:noFill/>
              <a:ln>
                <a:noFill/>
              </a:ln>
              <a:effectLst/>
            </c:spPr>
            <c:dLblPos val="ctr"/>
            <c:showLegendKey val="0"/>
            <c:showVal val="1"/>
            <c:showCatName val="0"/>
            <c:showSerName val="0"/>
            <c:showPercent val="0"/>
            <c:showBubbleSize val="0"/>
            <c:showLeaderLines val="1"/>
            <c:extLst>
              <c:ext xmlns:c15="http://schemas.microsoft.com/office/drawing/2012/chart" uri="{CE6537A1-D6FC-4f65-9D91-7224C49458BB}"/>
            </c:extLst>
          </c:dLbls>
          <c:cat>
            <c:strRef>
              <c:f>'4.3 Domestic product stratif.'!$B$58:$B$59</c:f>
              <c:strCache>
                <c:ptCount val="2"/>
                <c:pt idx="0">
                  <c:v>Utilized</c:v>
                </c:pt>
                <c:pt idx="1">
                  <c:v>Non-utilized</c:v>
                </c:pt>
              </c:strCache>
            </c:strRef>
          </c:cat>
          <c:val>
            <c:numRef>
              <c:f>'4.3 Domestic product stratif.'!$C$58:$C$59</c:f>
              <c:numCache>
                <c:formatCode>0%</c:formatCode>
                <c:ptCount val="2"/>
                <c:pt idx="0">
                  <c:v>1.1000000000000001</c:v>
                </c:pt>
                <c:pt idx="1">
                  <c:v>-0.10000000000000009</c:v>
                </c:pt>
              </c:numCache>
            </c:numRef>
          </c:val>
          <c:extLst>
            <c:ext xmlns:c16="http://schemas.microsoft.com/office/drawing/2014/chart" uri="{C3380CC4-5D6E-409C-BE32-E72D297353CC}">
              <c16:uniqueId val="{00000003-7150-4659-A7C6-A5AD059131ED}"/>
            </c:ext>
          </c:extLst>
        </c:ser>
        <c:dLbls>
          <c:showLegendKey val="0"/>
          <c:showVal val="0"/>
          <c:showCatName val="0"/>
          <c:showSerName val="0"/>
          <c:showPercent val="0"/>
          <c:showBubbleSize val="0"/>
          <c:showLeaderLines val="1"/>
        </c:dLbls>
        <c:firstSliceAng val="0"/>
      </c:pieChart>
    </c:plotArea>
    <c:plotVisOnly val="1"/>
    <c:dispBlanksAs val="gap"/>
    <c:showDLblsOverMax val="0"/>
  </c:chart>
  <c:spPr>
    <a:noFill/>
    <a:ln>
      <a:noFill/>
    </a:ln>
  </c:spPr>
  <c:printSettings>
    <c:headerFooter/>
    <c:pageMargins b="0.75000000000000089" l="0.70000000000000062" r="0.70000000000000062" t="0.75000000000000089" header="0.30000000000000032" footer="0.30000000000000032"/>
    <c:pageSetup/>
  </c:printSettings>
</c:chartSpace>
</file>

<file path=xl/charts/chart3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00"/>
            </a:pPr>
            <a:r>
              <a:rPr lang="en-GB" sz="1000"/>
              <a:t>Price dynamics</a:t>
            </a:r>
          </a:p>
        </c:rich>
      </c:tx>
      <c:overlay val="0"/>
    </c:title>
    <c:autoTitleDeleted val="0"/>
    <c:plotArea>
      <c:layout>
        <c:manualLayout>
          <c:layoutTarget val="inner"/>
          <c:xMode val="edge"/>
          <c:yMode val="edge"/>
          <c:x val="5.1624679148991583E-2"/>
          <c:y val="0.18503395810219303"/>
          <c:w val="0.89898637678328852"/>
          <c:h val="0.55151593076816041"/>
        </c:manualLayout>
      </c:layout>
      <c:barChart>
        <c:barDir val="col"/>
        <c:grouping val="clustered"/>
        <c:varyColors val="0"/>
        <c:ser>
          <c:idx val="0"/>
          <c:order val="0"/>
          <c:tx>
            <c:strRef>
              <c:f>'4.3 Domestic product stratif.'!$H$37</c:f>
              <c:strCache>
                <c:ptCount val="1"/>
                <c:pt idx="0">
                  <c:v>Volume (Pcs)</c:v>
                </c:pt>
              </c:strCache>
            </c:strRef>
          </c:tx>
          <c:spPr>
            <a:solidFill>
              <a:schemeClr val="accent2"/>
            </a:solidFill>
            <a:ln w="38100">
              <a:solidFill>
                <a:schemeClr val="accent5"/>
              </a:solidFill>
            </a:ln>
          </c:spPr>
          <c:invertIfNegative val="0"/>
          <c:dLbls>
            <c:spPr>
              <a:noFill/>
              <a:ln>
                <a:noFill/>
              </a:ln>
              <a:effectLst/>
            </c:spPr>
            <c:txPr>
              <a:bodyPr/>
              <a:lstStyle/>
              <a:p>
                <a:pPr>
                  <a:defRPr sz="800" b="1"/>
                </a:pPr>
                <a:endParaRPr lang="fr-FR"/>
              </a:p>
            </c:txPr>
            <c:dLblPos val="inBase"/>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'4.3 Domestic product stratif.'!$G$38:$G$51</c:f>
              <c:strCache>
                <c:ptCount val="14"/>
                <c:pt idx="0">
                  <c:v>SKU 1</c:v>
                </c:pt>
                <c:pt idx="1">
                  <c:v>SKU 2</c:v>
                </c:pt>
                <c:pt idx="2">
                  <c:v>SKU 3</c:v>
                </c:pt>
                <c:pt idx="3">
                  <c:v>SKU 4</c:v>
                </c:pt>
                <c:pt idx="4">
                  <c:v>SKU 5</c:v>
                </c:pt>
                <c:pt idx="5">
                  <c:v>SKU 6</c:v>
                </c:pt>
                <c:pt idx="6">
                  <c:v>SKU 7</c:v>
                </c:pt>
                <c:pt idx="7">
                  <c:v>SKU 8</c:v>
                </c:pt>
                <c:pt idx="8">
                  <c:v>SKU 9</c:v>
                </c:pt>
                <c:pt idx="9">
                  <c:v>SKU 10</c:v>
                </c:pt>
                <c:pt idx="10">
                  <c:v>SKU 11</c:v>
                </c:pt>
                <c:pt idx="11">
                  <c:v>SKU 12</c:v>
                </c:pt>
                <c:pt idx="12">
                  <c:v>SKU 13</c:v>
                </c:pt>
                <c:pt idx="13">
                  <c:v>SKU 14</c:v>
                </c:pt>
              </c:strCache>
            </c:strRef>
          </c:cat>
          <c:val>
            <c:numRef>
              <c:f>'4.3 Domestic product stratif.'!$H$38:$H$51</c:f>
              <c:numCache>
                <c:formatCode>General</c:formatCode>
                <c:ptCount val="14"/>
                <c:pt idx="0">
                  <c:v>225</c:v>
                </c:pt>
                <c:pt idx="1">
                  <c:v>177</c:v>
                </c:pt>
                <c:pt idx="2">
                  <c:v>38</c:v>
                </c:pt>
                <c:pt idx="3">
                  <c:v>179</c:v>
                </c:pt>
                <c:pt idx="4">
                  <c:v>60</c:v>
                </c:pt>
                <c:pt idx="5">
                  <c:v>64</c:v>
                </c:pt>
                <c:pt idx="6">
                  <c:v>328</c:v>
                </c:pt>
                <c:pt idx="7">
                  <c:v>401</c:v>
                </c:pt>
                <c:pt idx="8">
                  <c:v>0</c:v>
                </c:pt>
                <c:pt idx="9">
                  <c:v>0</c:v>
                </c:pt>
                <c:pt idx="10">
                  <c:v>0</c:v>
                </c:pt>
                <c:pt idx="11">
                  <c:v>94</c:v>
                </c:pt>
                <c:pt idx="12">
                  <c:v>0</c:v>
                </c:pt>
                <c:pt idx="13">
                  <c:v>0</c:v>
                </c:pt>
              </c:numCache>
            </c:numRef>
          </c:val>
          <c:extLst>
            <c:ext xmlns:c16="http://schemas.microsoft.com/office/drawing/2014/chart" uri="{C3380CC4-5D6E-409C-BE32-E72D297353CC}">
              <c16:uniqueId val="{00000000-B05E-42BD-BED9-5964971EBDCF}"/>
            </c:ext>
          </c:extLst>
        </c:ser>
        <c:dLbls>
          <c:showLegendKey val="0"/>
          <c:showVal val="0"/>
          <c:showCatName val="0"/>
          <c:showSerName val="0"/>
          <c:showPercent val="0"/>
          <c:showBubbleSize val="0"/>
        </c:dLbls>
        <c:gapWidth val="44"/>
        <c:axId val="54245248"/>
        <c:axId val="54246784"/>
      </c:barChart>
      <c:lineChart>
        <c:grouping val="standard"/>
        <c:varyColors val="0"/>
        <c:ser>
          <c:idx val="1"/>
          <c:order val="1"/>
          <c:tx>
            <c:strRef>
              <c:f>'4.3 Domestic product stratif.'!$I$37</c:f>
              <c:strCache>
                <c:ptCount val="1"/>
                <c:pt idx="0">
                  <c:v>Actual Unit NCM</c:v>
                </c:pt>
              </c:strCache>
            </c:strRef>
          </c:tx>
          <c:marker>
            <c:symbol val="none"/>
          </c:marker>
          <c:dLbls>
            <c:spPr>
              <a:solidFill>
                <a:schemeClr val="tx2"/>
              </a:solidFill>
            </c:spPr>
            <c:txPr>
              <a:bodyPr/>
              <a:lstStyle/>
              <a:p>
                <a:pPr>
                  <a:defRPr sz="700">
                    <a:solidFill>
                      <a:schemeClr val="bg1"/>
                    </a:solidFill>
                  </a:defRPr>
                </a:pPr>
                <a:endParaRPr lang="fr-FR"/>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'4.3 Domestic product stratif.'!$G$38:$G$51</c:f>
              <c:strCache>
                <c:ptCount val="14"/>
                <c:pt idx="0">
                  <c:v>SKU 1</c:v>
                </c:pt>
                <c:pt idx="1">
                  <c:v>SKU 2</c:v>
                </c:pt>
                <c:pt idx="2">
                  <c:v>SKU 3</c:v>
                </c:pt>
                <c:pt idx="3">
                  <c:v>SKU 4</c:v>
                </c:pt>
                <c:pt idx="4">
                  <c:v>SKU 5</c:v>
                </c:pt>
                <c:pt idx="5">
                  <c:v>SKU 6</c:v>
                </c:pt>
                <c:pt idx="6">
                  <c:v>SKU 7</c:v>
                </c:pt>
                <c:pt idx="7">
                  <c:v>SKU 8</c:v>
                </c:pt>
                <c:pt idx="8">
                  <c:v>SKU 9</c:v>
                </c:pt>
                <c:pt idx="9">
                  <c:v>SKU 10</c:v>
                </c:pt>
                <c:pt idx="10">
                  <c:v>SKU 11</c:v>
                </c:pt>
                <c:pt idx="11">
                  <c:v>SKU 12</c:v>
                </c:pt>
                <c:pt idx="12">
                  <c:v>SKU 13</c:v>
                </c:pt>
                <c:pt idx="13">
                  <c:v>SKU 14</c:v>
                </c:pt>
              </c:strCache>
            </c:strRef>
          </c:cat>
          <c:val>
            <c:numRef>
              <c:f>'4.3 Domestic product stratif.'!$I$38:$I$51</c:f>
              <c:numCache>
                <c:formatCode>General</c:formatCode>
                <c:ptCount val="14"/>
                <c:pt idx="0">
                  <c:v>40</c:v>
                </c:pt>
                <c:pt idx="1">
                  <c:v>50</c:v>
                </c:pt>
                <c:pt idx="2">
                  <c:v>35</c:v>
                </c:pt>
                <c:pt idx="3">
                  <c:v>60</c:v>
                </c:pt>
                <c:pt idx="4">
                  <c:v>45</c:v>
                </c:pt>
                <c:pt idx="5">
                  <c:v>23</c:v>
                </c:pt>
                <c:pt idx="6">
                  <c:v>55</c:v>
                </c:pt>
                <c:pt idx="7">
                  <c:v>67</c:v>
                </c:pt>
                <c:pt idx="8">
                  <c:v>33</c:v>
                </c:pt>
                <c:pt idx="9">
                  <c:v>24</c:v>
                </c:pt>
                <c:pt idx="10">
                  <c:v>56</c:v>
                </c:pt>
                <c:pt idx="11">
                  <c:v>34</c:v>
                </c:pt>
                <c:pt idx="12">
                  <c:v>23</c:v>
                </c:pt>
                <c:pt idx="13">
                  <c:v>43</c:v>
                </c:pt>
              </c:numCache>
            </c:numRef>
          </c:val>
          <c:smooth val="0"/>
          <c:extLst>
            <c:ext xmlns:c16="http://schemas.microsoft.com/office/drawing/2014/chart" uri="{C3380CC4-5D6E-409C-BE32-E72D297353CC}">
              <c16:uniqueId val="{00000001-B05E-42BD-BED9-5964971EBDCF}"/>
            </c:ext>
          </c:extLst>
        </c:ser>
        <c:ser>
          <c:idx val="2"/>
          <c:order val="2"/>
          <c:tx>
            <c:strRef>
              <c:f>'4.3 Domestic product stratif.'!$J$37</c:f>
              <c:strCache>
                <c:ptCount val="1"/>
                <c:pt idx="0">
                  <c:v>Target Unit NC</c:v>
                </c:pt>
              </c:strCache>
            </c:strRef>
          </c:tx>
          <c:marker>
            <c:symbol val="none"/>
          </c:marker>
          <c:dLbls>
            <c:spPr>
              <a:solidFill>
                <a:schemeClr val="tx1">
                  <a:lumMod val="65000"/>
                  <a:lumOff val="35000"/>
                </a:schemeClr>
              </a:solidFill>
            </c:spPr>
            <c:txPr>
              <a:bodyPr/>
              <a:lstStyle/>
              <a:p>
                <a:pPr>
                  <a:defRPr sz="700">
                    <a:solidFill>
                      <a:schemeClr val="bg1"/>
                    </a:solidFill>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'4.3 Domestic product stratif.'!$G$38:$G$51</c:f>
              <c:strCache>
                <c:ptCount val="14"/>
                <c:pt idx="0">
                  <c:v>SKU 1</c:v>
                </c:pt>
                <c:pt idx="1">
                  <c:v>SKU 2</c:v>
                </c:pt>
                <c:pt idx="2">
                  <c:v>SKU 3</c:v>
                </c:pt>
                <c:pt idx="3">
                  <c:v>SKU 4</c:v>
                </c:pt>
                <c:pt idx="4">
                  <c:v>SKU 5</c:v>
                </c:pt>
                <c:pt idx="5">
                  <c:v>SKU 6</c:v>
                </c:pt>
                <c:pt idx="6">
                  <c:v>SKU 7</c:v>
                </c:pt>
                <c:pt idx="7">
                  <c:v>SKU 8</c:v>
                </c:pt>
                <c:pt idx="8">
                  <c:v>SKU 9</c:v>
                </c:pt>
                <c:pt idx="9">
                  <c:v>SKU 10</c:v>
                </c:pt>
                <c:pt idx="10">
                  <c:v>SKU 11</c:v>
                </c:pt>
                <c:pt idx="11">
                  <c:v>SKU 12</c:v>
                </c:pt>
                <c:pt idx="12">
                  <c:v>SKU 13</c:v>
                </c:pt>
                <c:pt idx="13">
                  <c:v>SKU 14</c:v>
                </c:pt>
              </c:strCache>
            </c:strRef>
          </c:cat>
          <c:val>
            <c:numRef>
              <c:f>'4.3 Domestic product stratif.'!$J$38:$J$51</c:f>
              <c:numCache>
                <c:formatCode>General</c:formatCode>
                <c:ptCount val="14"/>
                <c:pt idx="0">
                  <c:v>36</c:v>
                </c:pt>
                <c:pt idx="1">
                  <c:v>55.000000000000007</c:v>
                </c:pt>
                <c:pt idx="2">
                  <c:v>38.5</c:v>
                </c:pt>
                <c:pt idx="3">
                  <c:v>54</c:v>
                </c:pt>
                <c:pt idx="4">
                  <c:v>49.500000000000007</c:v>
                </c:pt>
                <c:pt idx="5">
                  <c:v>25.3</c:v>
                </c:pt>
                <c:pt idx="6">
                  <c:v>49.5</c:v>
                </c:pt>
                <c:pt idx="7">
                  <c:v>73.7</c:v>
                </c:pt>
                <c:pt idx="8">
                  <c:v>36.300000000000004</c:v>
                </c:pt>
                <c:pt idx="9">
                  <c:v>21.6</c:v>
                </c:pt>
                <c:pt idx="10">
                  <c:v>61.600000000000009</c:v>
                </c:pt>
                <c:pt idx="11">
                  <c:v>30.6</c:v>
                </c:pt>
                <c:pt idx="12">
                  <c:v>25.3</c:v>
                </c:pt>
                <c:pt idx="13">
                  <c:v>38.700000000000003</c:v>
                </c:pt>
              </c:numCache>
            </c:numRef>
          </c:val>
          <c:smooth val="0"/>
          <c:extLst>
            <c:ext xmlns:c16="http://schemas.microsoft.com/office/drawing/2014/chart" uri="{C3380CC4-5D6E-409C-BE32-E72D297353CC}">
              <c16:uniqueId val="{00000002-B05E-42BD-BED9-5964971EBDCF}"/>
            </c:ext>
          </c:extLst>
        </c:ser>
        <c:dLbls>
          <c:showLegendKey val="0"/>
          <c:showVal val="0"/>
          <c:showCatName val="0"/>
          <c:showSerName val="0"/>
          <c:showPercent val="0"/>
          <c:showBubbleSize val="0"/>
        </c:dLbls>
        <c:marker val="1"/>
        <c:smooth val="0"/>
        <c:axId val="54258304"/>
        <c:axId val="54256768"/>
      </c:lineChart>
      <c:catAx>
        <c:axId val="54245248"/>
        <c:scaling>
          <c:orientation val="minMax"/>
        </c:scaling>
        <c:delete val="0"/>
        <c:axPos val="b"/>
        <c:numFmt formatCode="General" sourceLinked="1"/>
        <c:majorTickMark val="out"/>
        <c:minorTickMark val="none"/>
        <c:tickLblPos val="nextTo"/>
        <c:txPr>
          <a:bodyPr/>
          <a:lstStyle/>
          <a:p>
            <a:pPr>
              <a:defRPr sz="600"/>
            </a:pPr>
            <a:endParaRPr lang="fr-FR"/>
          </a:p>
        </c:txPr>
        <c:crossAx val="54246784"/>
        <c:crosses val="autoZero"/>
        <c:auto val="1"/>
        <c:lblAlgn val="ctr"/>
        <c:lblOffset val="100"/>
        <c:noMultiLvlLbl val="0"/>
      </c:catAx>
      <c:valAx>
        <c:axId val="54246784"/>
        <c:scaling>
          <c:orientation val="minMax"/>
          <c:min val="0"/>
        </c:scaling>
        <c:delete val="0"/>
        <c:axPos val="l"/>
        <c:majorGridlines/>
        <c:numFmt formatCode="General" sourceLinked="1"/>
        <c:majorTickMark val="out"/>
        <c:minorTickMark val="none"/>
        <c:tickLblPos val="nextTo"/>
        <c:txPr>
          <a:bodyPr/>
          <a:lstStyle/>
          <a:p>
            <a:pPr>
              <a:defRPr sz="800"/>
            </a:pPr>
            <a:endParaRPr lang="fr-FR"/>
          </a:p>
        </c:txPr>
        <c:crossAx val="54245248"/>
        <c:crosses val="autoZero"/>
        <c:crossBetween val="between"/>
        <c:majorUnit val="100"/>
      </c:valAx>
      <c:valAx>
        <c:axId val="54256768"/>
        <c:scaling>
          <c:orientation val="minMax"/>
        </c:scaling>
        <c:delete val="0"/>
        <c:axPos val="r"/>
        <c:numFmt formatCode="General" sourceLinked="1"/>
        <c:majorTickMark val="out"/>
        <c:minorTickMark val="none"/>
        <c:tickLblPos val="nextTo"/>
        <c:crossAx val="54258304"/>
        <c:crosses val="max"/>
        <c:crossBetween val="between"/>
      </c:valAx>
      <c:catAx>
        <c:axId val="54258304"/>
        <c:scaling>
          <c:orientation val="minMax"/>
        </c:scaling>
        <c:delete val="1"/>
        <c:axPos val="b"/>
        <c:numFmt formatCode="General" sourceLinked="1"/>
        <c:majorTickMark val="out"/>
        <c:minorTickMark val="none"/>
        <c:tickLblPos val="none"/>
        <c:crossAx val="54256768"/>
        <c:crosses val="autoZero"/>
        <c:auto val="1"/>
        <c:lblAlgn val="ctr"/>
        <c:lblOffset val="100"/>
        <c:noMultiLvlLbl val="0"/>
      </c:catAx>
      <c:spPr>
        <a:noFill/>
      </c:spPr>
    </c:plotArea>
    <c:legend>
      <c:legendPos val="r"/>
      <c:layout>
        <c:manualLayout>
          <c:xMode val="edge"/>
          <c:yMode val="edge"/>
          <c:x val="1.9960450018561664E-3"/>
          <c:y val="0.87505740488527894"/>
          <c:w val="0.57466135603438995"/>
          <c:h val="0.12494259511472107"/>
        </c:manualLayout>
      </c:layout>
      <c:overlay val="0"/>
    </c:legend>
    <c:plotVisOnly val="1"/>
    <c:dispBlanksAs val="gap"/>
    <c:showDLblsOverMax val="0"/>
  </c:chart>
  <c:spPr>
    <a:noFill/>
    <a:ln>
      <a:noFill/>
    </a:ln>
  </c:spPr>
  <c:printSettings>
    <c:headerFooter/>
    <c:pageMargins b="0.75000000000000089" l="0.70000000000000062" r="0.70000000000000062" t="0.75000000000000089" header="0.30000000000000032" footer="0.30000000000000032"/>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2.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1" Type="http://schemas.openxmlformats.org/officeDocument/2006/relationships/chart" Target="../charts/chart3.xml"/></Relationships>
</file>

<file path=xl/drawings/_rels/drawing5.xml.rels><?xml version="1.0" encoding="UTF-8" standalone="yes"?>
<Relationships xmlns="http://schemas.openxmlformats.org/package/2006/relationships"><Relationship Id="rId1" Type="http://schemas.openxmlformats.org/officeDocument/2006/relationships/chart" Target="../charts/chart4.xml"/></Relationships>
</file>

<file path=xl/drawings/_rels/drawing6.xml.rels><?xml version="1.0" encoding="UTF-8" standalone="yes"?>
<Relationships xmlns="http://schemas.openxmlformats.org/package/2006/relationships"><Relationship Id="rId1" Type="http://schemas.openxmlformats.org/officeDocument/2006/relationships/chart" Target="../charts/chart5.xml"/></Relationships>
</file>

<file path=xl/drawings/_rels/drawing7.xml.rels><?xml version="1.0" encoding="UTF-8" standalone="yes"?>
<Relationships xmlns="http://schemas.openxmlformats.org/package/2006/relationships"><Relationship Id="rId2" Type="http://schemas.openxmlformats.org/officeDocument/2006/relationships/chart" Target="../charts/chart7.xml"/><Relationship Id="rId1" Type="http://schemas.openxmlformats.org/officeDocument/2006/relationships/chart" Target="../charts/chart6.xml"/></Relationships>
</file>

<file path=xl/drawings/_rels/drawing8.xml.rels><?xml version="1.0" encoding="UTF-8" standalone="yes"?>
<Relationships xmlns="http://schemas.openxmlformats.org/package/2006/relationships"><Relationship Id="rId3" Type="http://schemas.openxmlformats.org/officeDocument/2006/relationships/chart" Target="../charts/chart10.xml"/><Relationship Id="rId2" Type="http://schemas.openxmlformats.org/officeDocument/2006/relationships/chart" Target="../charts/chart9.xml"/><Relationship Id="rId1" Type="http://schemas.openxmlformats.org/officeDocument/2006/relationships/chart" Target="../charts/chart8.xml"/><Relationship Id="rId4" Type="http://schemas.openxmlformats.org/officeDocument/2006/relationships/chart" Target="../charts/chart11.xml"/></Relationships>
</file>

<file path=xl/drawings/_rels/drawing9.xml.rels><?xml version="1.0" encoding="UTF-8" standalone="yes"?>
<Relationships xmlns="http://schemas.openxmlformats.org/package/2006/relationships"><Relationship Id="rId3" Type="http://schemas.openxmlformats.org/officeDocument/2006/relationships/chart" Target="../charts/chart14.xml"/><Relationship Id="rId2" Type="http://schemas.openxmlformats.org/officeDocument/2006/relationships/chart" Target="../charts/chart13.xml"/><Relationship Id="rId1" Type="http://schemas.openxmlformats.org/officeDocument/2006/relationships/chart" Target="../charts/chart12.xml"/></Relationships>
</file>

<file path=xl/drawings/_rels/drawing10.xml.rels><?xml version="1.0" encoding="UTF-8" standalone="yes"?>
<Relationships xmlns="http://schemas.openxmlformats.org/package/2006/relationships"><Relationship Id="rId3" Type="http://schemas.openxmlformats.org/officeDocument/2006/relationships/chart" Target="../charts/chart17.xml"/><Relationship Id="rId2" Type="http://schemas.openxmlformats.org/officeDocument/2006/relationships/chart" Target="../charts/chart16.xml"/><Relationship Id="rId1" Type="http://schemas.openxmlformats.org/officeDocument/2006/relationships/chart" Target="../charts/chart15.xml"/></Relationships>
</file>

<file path=xl/drawings/_rels/drawing11.xml.rels><?xml version="1.0" encoding="UTF-8" standalone="yes"?>
<Relationships xmlns="http://schemas.openxmlformats.org/package/2006/relationships"><Relationship Id="rId3" Type="http://schemas.openxmlformats.org/officeDocument/2006/relationships/chart" Target="../charts/chart20.xml"/><Relationship Id="rId2" Type="http://schemas.openxmlformats.org/officeDocument/2006/relationships/chart" Target="../charts/chart19.xml"/><Relationship Id="rId1" Type="http://schemas.openxmlformats.org/officeDocument/2006/relationships/chart" Target="../charts/chart18.xml"/></Relationships>
</file>

<file path=xl/drawings/_rels/drawing12.xml.rels><?xml version="1.0" encoding="UTF-8" standalone="yes"?>
<Relationships xmlns="http://schemas.openxmlformats.org/package/2006/relationships"><Relationship Id="rId3" Type="http://schemas.openxmlformats.org/officeDocument/2006/relationships/chart" Target="../charts/chart23.xml"/><Relationship Id="rId2" Type="http://schemas.openxmlformats.org/officeDocument/2006/relationships/chart" Target="../charts/chart22.xml"/><Relationship Id="rId1" Type="http://schemas.openxmlformats.org/officeDocument/2006/relationships/chart" Target="../charts/chart21.xml"/><Relationship Id="rId4" Type="http://schemas.openxmlformats.org/officeDocument/2006/relationships/chart" Target="../charts/chart24.xml"/></Relationships>
</file>

<file path=xl/drawings/_rels/drawing13.xml.rels><?xml version="1.0" encoding="UTF-8" standalone="yes"?>
<Relationships xmlns="http://schemas.openxmlformats.org/package/2006/relationships"><Relationship Id="rId1" Type="http://schemas.openxmlformats.org/officeDocument/2006/relationships/chart" Target="../charts/chart25.xml"/></Relationships>
</file>

<file path=xl/drawings/_rels/drawing1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1" Type="http://schemas.openxmlformats.org/officeDocument/2006/relationships/image" Target="../media/image4.png"/></Relationships>
</file>

<file path=xl/drawings/_rels/drawing16.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5.png"/></Relationships>
</file>

<file path=xl/drawings/_rels/drawing17.xml.rels><?xml version="1.0" encoding="UTF-8" standalone="yes"?>
<Relationships xmlns="http://schemas.openxmlformats.org/package/2006/relationships"><Relationship Id="rId3" Type="http://schemas.openxmlformats.org/officeDocument/2006/relationships/chart" Target="../charts/chart28.xml"/><Relationship Id="rId2" Type="http://schemas.openxmlformats.org/officeDocument/2006/relationships/chart" Target="../charts/chart27.xml"/><Relationship Id="rId1" Type="http://schemas.openxmlformats.org/officeDocument/2006/relationships/chart" Target="../charts/chart26.xml"/><Relationship Id="rId4" Type="http://schemas.openxmlformats.org/officeDocument/2006/relationships/chart" Target="../charts/chart29.xml"/></Relationships>
</file>

<file path=xl/drawings/_rels/drawing18.xml.rels><?xml version="1.0" encoding="UTF-8" standalone="yes"?>
<Relationships xmlns="http://schemas.openxmlformats.org/package/2006/relationships"><Relationship Id="rId3" Type="http://schemas.openxmlformats.org/officeDocument/2006/relationships/chart" Target="../charts/chart32.xml"/><Relationship Id="rId2" Type="http://schemas.openxmlformats.org/officeDocument/2006/relationships/chart" Target="../charts/chart31.xml"/><Relationship Id="rId1" Type="http://schemas.openxmlformats.org/officeDocument/2006/relationships/chart" Target="../charts/chart30.xml"/><Relationship Id="rId4" Type="http://schemas.openxmlformats.org/officeDocument/2006/relationships/chart" Target="../charts/chart33.xml"/></Relationships>
</file>

<file path=xl/drawings/drawing1.xml><?xml version="1.0" encoding="utf-8"?>
<xdr:wsDr xmlns:xdr="http://schemas.openxmlformats.org/drawingml/2006/spreadsheetDrawing" xmlns:a="http://schemas.openxmlformats.org/drawingml/2006/main">
  <xdr:twoCellAnchor>
    <xdr:from>
      <xdr:col>2</xdr:col>
      <xdr:colOff>15240</xdr:colOff>
      <xdr:row>17</xdr:row>
      <xdr:rowOff>182880</xdr:rowOff>
    </xdr:from>
    <xdr:to>
      <xdr:col>10</xdr:col>
      <xdr:colOff>15240</xdr:colOff>
      <xdr:row>21</xdr:row>
      <xdr:rowOff>38100</xdr:rowOff>
    </xdr:to>
    <xdr:sp macro="" textlink="">
      <xdr:nvSpPr>
        <xdr:cNvPr id="3" name="TextBox 2">
          <a:extLst>
            <a:ext uri="{FF2B5EF4-FFF2-40B4-BE49-F238E27FC236}">
              <a16:creationId xmlns:a16="http://schemas.microsoft.com/office/drawing/2014/main" id="{70959165-56AF-6ACD-49EA-9ABE8B67F87E}"/>
            </a:ext>
          </a:extLst>
        </xdr:cNvPr>
        <xdr:cNvSpPr txBox="1"/>
      </xdr:nvSpPr>
      <xdr:spPr>
        <a:xfrm>
          <a:off x="685800" y="3032760"/>
          <a:ext cx="6903720" cy="647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b="1">
              <a:solidFill>
                <a:srgbClr val="FF0000"/>
              </a:solidFill>
            </a:rPr>
            <a:t>*</a:t>
          </a:r>
          <a:r>
            <a:rPr lang="en-US" sz="1100" baseline="0"/>
            <a:t> The forecasted full year '22 EBITDA of EUR 2.9m is slightly (3%) higher than the Rock Bottom budget of EUR 2,848k, reflective of lower forecasted battery sales volumes for Q4 (43,000 less batteries, approximately -25%), compared to the Base Plan as presented in the July board meeeting</a:t>
          </a:r>
          <a:endParaRPr lang="bg-BG"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570411</xdr:colOff>
      <xdr:row>6</xdr:row>
      <xdr:rowOff>83820</xdr:rowOff>
    </xdr:from>
    <xdr:to>
      <xdr:col>6</xdr:col>
      <xdr:colOff>664029</xdr:colOff>
      <xdr:row>27</xdr:row>
      <xdr:rowOff>87086</xdr:rowOff>
    </xdr:to>
    <xdr:graphicFrame macro="">
      <xdr:nvGraphicFramePr>
        <xdr:cNvPr id="2" name="Chart 6">
          <a:extLst>
            <a:ext uri="{FF2B5EF4-FFF2-40B4-BE49-F238E27FC236}">
              <a16:creationId xmlns:a16="http://schemas.microsoft.com/office/drawing/2014/main" id="{CC05703B-D5D5-48A2-BEAE-8985BE90421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xdr:col>
      <xdr:colOff>372292</xdr:colOff>
      <xdr:row>6</xdr:row>
      <xdr:rowOff>83820</xdr:rowOff>
    </xdr:from>
    <xdr:to>
      <xdr:col>11</xdr:col>
      <xdr:colOff>203563</xdr:colOff>
      <xdr:row>27</xdr:row>
      <xdr:rowOff>117565</xdr:rowOff>
    </xdr:to>
    <xdr:graphicFrame macro="">
      <xdr:nvGraphicFramePr>
        <xdr:cNvPr id="4" name="Chart 8">
          <a:extLst>
            <a:ext uri="{FF2B5EF4-FFF2-40B4-BE49-F238E27FC236}">
              <a16:creationId xmlns:a16="http://schemas.microsoft.com/office/drawing/2014/main" id="{343CEA4B-320E-48B5-8BA2-1A65D58F5A5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1</xdr:col>
      <xdr:colOff>159545</xdr:colOff>
      <xdr:row>3</xdr:row>
      <xdr:rowOff>118269</xdr:rowOff>
    </xdr:from>
    <xdr:to>
      <xdr:col>6</xdr:col>
      <xdr:colOff>76200</xdr:colOff>
      <xdr:row>31</xdr:row>
      <xdr:rowOff>38100</xdr:rowOff>
    </xdr:to>
    <xdr:graphicFrame macro="">
      <xdr:nvGraphicFramePr>
        <xdr:cNvPr id="2" name="Chart 1">
          <a:extLst>
            <a:ext uri="{FF2B5EF4-FFF2-40B4-BE49-F238E27FC236}">
              <a16:creationId xmlns:a16="http://schemas.microsoft.com/office/drawing/2014/main" id="{DB2A68B0-3BCC-426B-BD17-BEB8A4F0AB3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2</xdr:col>
      <xdr:colOff>30480</xdr:colOff>
      <xdr:row>30</xdr:row>
      <xdr:rowOff>7620</xdr:rowOff>
    </xdr:from>
    <xdr:to>
      <xdr:col>13</xdr:col>
      <xdr:colOff>63500</xdr:colOff>
      <xdr:row>41</xdr:row>
      <xdr:rowOff>50800</xdr:rowOff>
    </xdr:to>
    <xdr:sp macro="" textlink="">
      <xdr:nvSpPr>
        <xdr:cNvPr id="2" name="TextBox 1">
          <a:extLst>
            <a:ext uri="{FF2B5EF4-FFF2-40B4-BE49-F238E27FC236}">
              <a16:creationId xmlns:a16="http://schemas.microsoft.com/office/drawing/2014/main" id="{734B2F36-6EF7-47EA-9B3D-B10AAC7B34C9}"/>
            </a:ext>
          </a:extLst>
        </xdr:cNvPr>
        <xdr:cNvSpPr txBox="1"/>
      </xdr:nvSpPr>
      <xdr:spPr>
        <a:xfrm>
          <a:off x="1268730" y="10742295"/>
          <a:ext cx="8615045" cy="213868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YoY EBITDA change</a:t>
          </a:r>
          <a:r>
            <a:rPr lang="en-US" sz="1100" baseline="0"/>
            <a:t> is limited (just 2% increase) driven by a number of offsetting impacts:</a:t>
          </a:r>
        </a:p>
        <a:p>
          <a:r>
            <a:rPr lang="en-US" sz="1100" baseline="0"/>
            <a:t>  * 15% overall increase in revenues, incl. 23% increase in domestic sales and improved marginality on the local market (less discounts offerred to customers)</a:t>
          </a:r>
        </a:p>
        <a:p>
          <a:r>
            <a:rPr lang="en-US" sz="1100" baseline="0"/>
            <a:t>  * Unfavorable price variance for major raw materials, incl. raw lead and scrab batteries, acid and other reagents (estimated negative price  impact of appr. TND -2.6m / EUR -0.8m)</a:t>
          </a:r>
        </a:p>
        <a:p>
          <a:r>
            <a:rPr lang="en-US" sz="1100" baseline="0"/>
            <a:t>  * Favorable impact on use of drosses in refinery - quantity of dross used in production is significantly higher that quantity available end of 2021 and 2022 production (estimated favorable impact of TND +0.6m / EUR +0.2m)</a:t>
          </a:r>
        </a:p>
        <a:p>
          <a:r>
            <a:rPr lang="en-US" sz="1100" baseline="0"/>
            <a:t>  * Significant increase of payroll expenses of EUR -378k, mostly driven by sales team bonus payments/accruals (EUR -187k), also higher production payroll costs (EUR -66k, partially due to increase in average production headcount and partially due to increase in wages and benefits) and higher admin salaries (EUR -108k, constituring of new senior management recruits, and the labour cost in SNR)</a:t>
          </a:r>
        </a:p>
        <a:p>
          <a:r>
            <a:rPr lang="en-US" sz="1100" baseline="0"/>
            <a:t>  * Lower costs for provision for returned batteries of EUR +176k. In 2021 such provision was accrued for the first time, hence the significant impact in prior year. Calculation of the provision needs to be revisited at year-end as it is currently not reflective the benefit of the recycling of the returned batteris</a:t>
          </a:r>
          <a:endParaRPr lang="bg-BG"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48663</xdr:colOff>
      <xdr:row>4</xdr:row>
      <xdr:rowOff>92540</xdr:rowOff>
    </xdr:from>
    <xdr:to>
      <xdr:col>14</xdr:col>
      <xdr:colOff>462897</xdr:colOff>
      <xdr:row>19</xdr:row>
      <xdr:rowOff>52324</xdr:rowOff>
    </xdr:to>
    <xdr:graphicFrame macro="">
      <xdr:nvGraphicFramePr>
        <xdr:cNvPr id="2" name="Chart 1">
          <a:extLst>
            <a:ext uri="{FF2B5EF4-FFF2-40B4-BE49-F238E27FC236}">
              <a16:creationId xmlns:a16="http://schemas.microsoft.com/office/drawing/2014/main" id="{57369F03-F95C-42C5-8494-B96E256B274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598206</xdr:colOff>
      <xdr:row>20</xdr:row>
      <xdr:rowOff>42730</xdr:rowOff>
    </xdr:from>
    <xdr:to>
      <xdr:col>15</xdr:col>
      <xdr:colOff>14244</xdr:colOff>
      <xdr:row>23</xdr:row>
      <xdr:rowOff>156673</xdr:rowOff>
    </xdr:to>
    <xdr:sp macro="" textlink="">
      <xdr:nvSpPr>
        <xdr:cNvPr id="3" name="TextBox 2">
          <a:extLst>
            <a:ext uri="{FF2B5EF4-FFF2-40B4-BE49-F238E27FC236}">
              <a16:creationId xmlns:a16="http://schemas.microsoft.com/office/drawing/2014/main" id="{C0E564C7-6D62-4F35-97D5-BE13C59A8823}"/>
            </a:ext>
          </a:extLst>
        </xdr:cNvPr>
        <xdr:cNvSpPr txBox="1"/>
      </xdr:nvSpPr>
      <xdr:spPr>
        <a:xfrm>
          <a:off x="598206" y="3386005"/>
          <a:ext cx="10064988" cy="59971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b="1">
              <a:solidFill>
                <a:srgbClr val="FF0000"/>
              </a:solidFill>
            </a:rPr>
            <a:t>*</a:t>
          </a:r>
          <a:r>
            <a:rPr lang="en-US" sz="1100" baseline="0"/>
            <a:t> Increase in interest expenses is reflective of increase in net debt levels, mostly related to excessive use of overdraft facilities in SNA &amp; SND where approved limit is subject to exception. Debt level, incl. overdraft usage shall be controlled tightly given the very high interest rates in Tunisia - interest of all loans is based on the TMM reference rate + premium (TMM for Dec'22 is 7.26% and growing since then and applicable premiums are appr. 2%)</a:t>
          </a:r>
          <a:endParaRPr lang="bg-BG"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48663</xdr:colOff>
      <xdr:row>4</xdr:row>
      <xdr:rowOff>92540</xdr:rowOff>
    </xdr:from>
    <xdr:to>
      <xdr:col>14</xdr:col>
      <xdr:colOff>462897</xdr:colOff>
      <xdr:row>19</xdr:row>
      <xdr:rowOff>52324</xdr:rowOff>
    </xdr:to>
    <xdr:graphicFrame macro="">
      <xdr:nvGraphicFramePr>
        <xdr:cNvPr id="2" name="Chart 1">
          <a:extLst>
            <a:ext uri="{FF2B5EF4-FFF2-40B4-BE49-F238E27FC236}">
              <a16:creationId xmlns:a16="http://schemas.microsoft.com/office/drawing/2014/main" id="{450158A4-7081-4BE9-A4AB-D0DD19BE1EB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598206</xdr:colOff>
      <xdr:row>20</xdr:row>
      <xdr:rowOff>42730</xdr:rowOff>
    </xdr:from>
    <xdr:to>
      <xdr:col>15</xdr:col>
      <xdr:colOff>14244</xdr:colOff>
      <xdr:row>23</xdr:row>
      <xdr:rowOff>156673</xdr:rowOff>
    </xdr:to>
    <xdr:sp macro="" textlink="">
      <xdr:nvSpPr>
        <xdr:cNvPr id="3" name="TextBox 2">
          <a:extLst>
            <a:ext uri="{FF2B5EF4-FFF2-40B4-BE49-F238E27FC236}">
              <a16:creationId xmlns:a16="http://schemas.microsoft.com/office/drawing/2014/main" id="{5152D55D-3A27-485B-BD2D-E2E5D1CE7676}"/>
            </a:ext>
          </a:extLst>
        </xdr:cNvPr>
        <xdr:cNvSpPr txBox="1"/>
      </xdr:nvSpPr>
      <xdr:spPr>
        <a:xfrm>
          <a:off x="598206" y="3667571"/>
          <a:ext cx="8282300" cy="64805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b="1">
              <a:solidFill>
                <a:srgbClr val="FF0000"/>
              </a:solidFill>
            </a:rPr>
            <a:t>*</a:t>
          </a:r>
          <a:r>
            <a:rPr lang="en-US" sz="1100" baseline="0"/>
            <a:t> Increase in interest expenses is reflective of increase in net debt levels, mostly related to excessive use of overdraft facilities in SNA &amp; SND where approved limit is subject to exception. Debt level, incl. overdraft usage shall be controlled tightly given the very high interest rates in Tunisia - interest of all loans is based on the TMM reference rate + premium (TMM for Sep'22 is 7.03% and applicable premiums are appr. 2%)</a:t>
          </a:r>
          <a:endParaRPr lang="bg-BG"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157885</xdr:colOff>
      <xdr:row>4</xdr:row>
      <xdr:rowOff>154420</xdr:rowOff>
    </xdr:from>
    <xdr:to>
      <xdr:col>5</xdr:col>
      <xdr:colOff>472210</xdr:colOff>
      <xdr:row>33</xdr:row>
      <xdr:rowOff>78220</xdr:rowOff>
    </xdr:to>
    <xdr:graphicFrame macro="">
      <xdr:nvGraphicFramePr>
        <xdr:cNvPr id="4" name="Chart 3">
          <a:extLst>
            <a:ext uri="{FF2B5EF4-FFF2-40B4-BE49-F238E27FC236}">
              <a16:creationId xmlns:a16="http://schemas.microsoft.com/office/drawing/2014/main" id="{61A6BAF6-7018-435B-905A-C0FE304355C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290945</xdr:colOff>
      <xdr:row>4</xdr:row>
      <xdr:rowOff>110837</xdr:rowOff>
    </xdr:from>
    <xdr:to>
      <xdr:col>9</xdr:col>
      <xdr:colOff>429491</xdr:colOff>
      <xdr:row>9</xdr:row>
      <xdr:rowOff>55418</xdr:rowOff>
    </xdr:to>
    <xdr:sp macro="" textlink="">
      <xdr:nvSpPr>
        <xdr:cNvPr id="2" name="TextBox 1">
          <a:extLst>
            <a:ext uri="{FF2B5EF4-FFF2-40B4-BE49-F238E27FC236}">
              <a16:creationId xmlns:a16="http://schemas.microsoft.com/office/drawing/2014/main" id="{4A59BB81-648D-864E-E278-AD026F081729}"/>
            </a:ext>
          </a:extLst>
        </xdr:cNvPr>
        <xdr:cNvSpPr txBox="1"/>
      </xdr:nvSpPr>
      <xdr:spPr>
        <a:xfrm>
          <a:off x="4475018" y="865910"/>
          <a:ext cx="1946564" cy="81049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solidFill>
                <a:srgbClr val="FF0000"/>
              </a:solidFill>
            </a:rPr>
            <a:t>*</a:t>
          </a:r>
          <a:r>
            <a:rPr lang="en-US" sz="1100"/>
            <a:t> Debt coverage scale limited to</a:t>
          </a:r>
          <a:r>
            <a:rPr lang="en-US" sz="1100" baseline="0"/>
            <a:t> 3.1 as debt coverage ratio in excess of 3 is indicative of an indebted organization</a:t>
          </a:r>
          <a:endParaRPr lang="bg-BG" sz="1100"/>
        </a:p>
      </xdr:txBody>
    </xdr:sp>
    <xdr:clientData/>
  </xdr:twoCellAnchor>
  <xdr:twoCellAnchor>
    <xdr:from>
      <xdr:col>14</xdr:col>
      <xdr:colOff>454602</xdr:colOff>
      <xdr:row>9</xdr:row>
      <xdr:rowOff>48493</xdr:rowOff>
    </xdr:from>
    <xdr:to>
      <xdr:col>19</xdr:col>
      <xdr:colOff>593147</xdr:colOff>
      <xdr:row>23</xdr:row>
      <xdr:rowOff>88758</xdr:rowOff>
    </xdr:to>
    <xdr:graphicFrame macro="">
      <xdr:nvGraphicFramePr>
        <xdr:cNvPr id="5" name="Graphique 4">
          <a:extLst>
            <a:ext uri="{FF2B5EF4-FFF2-40B4-BE49-F238E27FC236}">
              <a16:creationId xmlns:a16="http://schemas.microsoft.com/office/drawing/2014/main" id="{1F1FF67E-AF0C-08E2-F983-949A1D0897E9}"/>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22</xdr:col>
      <xdr:colOff>280987</xdr:colOff>
      <xdr:row>6</xdr:row>
      <xdr:rowOff>4761</xdr:rowOff>
    </xdr:from>
    <xdr:to>
      <xdr:col>26</xdr:col>
      <xdr:colOff>202406</xdr:colOff>
      <xdr:row>10</xdr:row>
      <xdr:rowOff>95250</xdr:rowOff>
    </xdr:to>
    <xdr:sp macro="" textlink="">
      <xdr:nvSpPr>
        <xdr:cNvPr id="9" name="TextBox 1">
          <a:extLst>
            <a:ext uri="{FF2B5EF4-FFF2-40B4-BE49-F238E27FC236}">
              <a16:creationId xmlns:a16="http://schemas.microsoft.com/office/drawing/2014/main" id="{B4835ABA-093B-457E-8508-09E520D80BD7}"/>
            </a:ext>
          </a:extLst>
        </xdr:cNvPr>
        <xdr:cNvSpPr txBox="1"/>
      </xdr:nvSpPr>
      <xdr:spPr>
        <a:xfrm>
          <a:off x="14901862" y="1088230"/>
          <a:ext cx="2302669" cy="75723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solidFill>
                <a:srgbClr val="FF0000"/>
              </a:solidFill>
            </a:rPr>
            <a:t>*</a:t>
          </a:r>
          <a:r>
            <a:rPr lang="en-US" sz="1100"/>
            <a:t> Net Debt at</a:t>
          </a:r>
          <a:r>
            <a:rPr lang="en-US" sz="1100" baseline="0"/>
            <a:t> the end of</a:t>
          </a:r>
          <a:r>
            <a:rPr lang="en-US" sz="1100"/>
            <a:t> Q3 22 and FY 23 are</a:t>
          </a:r>
          <a:r>
            <a:rPr lang="en-US" sz="1100" baseline="0"/>
            <a:t> almost in the same level</a:t>
          </a:r>
          <a:endParaRPr lang="bg-BG"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31935</xdr:colOff>
      <xdr:row>3</xdr:row>
      <xdr:rowOff>100853</xdr:rowOff>
    </xdr:from>
    <xdr:to>
      <xdr:col>15</xdr:col>
      <xdr:colOff>515469</xdr:colOff>
      <xdr:row>17</xdr:row>
      <xdr:rowOff>86846</xdr:rowOff>
    </xdr:to>
    <xdr:graphicFrame macro="">
      <xdr:nvGraphicFramePr>
        <xdr:cNvPr id="2" name="Chart 1">
          <a:extLst>
            <a:ext uri="{FF2B5EF4-FFF2-40B4-BE49-F238E27FC236}">
              <a16:creationId xmlns:a16="http://schemas.microsoft.com/office/drawing/2014/main" id="{4EF3D83D-9C8E-4353-A34D-70E94AF4961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19051</xdr:colOff>
      <xdr:row>18</xdr:row>
      <xdr:rowOff>57150</xdr:rowOff>
    </xdr:from>
    <xdr:to>
      <xdr:col>7</xdr:col>
      <xdr:colOff>600075</xdr:colOff>
      <xdr:row>33</xdr:row>
      <xdr:rowOff>142875</xdr:rowOff>
    </xdr:to>
    <xdr:graphicFrame macro="">
      <xdr:nvGraphicFramePr>
        <xdr:cNvPr id="3" name="Chart 2">
          <a:extLst>
            <a:ext uri="{FF2B5EF4-FFF2-40B4-BE49-F238E27FC236}">
              <a16:creationId xmlns:a16="http://schemas.microsoft.com/office/drawing/2014/main" id="{028C4106-971E-4C1E-8A5C-A6DDFC7F6E0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5</xdr:col>
      <xdr:colOff>342901</xdr:colOff>
      <xdr:row>18</xdr:row>
      <xdr:rowOff>19050</xdr:rowOff>
    </xdr:from>
    <xdr:to>
      <xdr:col>13</xdr:col>
      <xdr:colOff>85725</xdr:colOff>
      <xdr:row>33</xdr:row>
      <xdr:rowOff>104775</xdr:rowOff>
    </xdr:to>
    <xdr:graphicFrame macro="">
      <xdr:nvGraphicFramePr>
        <xdr:cNvPr id="4" name="Chart 3">
          <a:extLst>
            <a:ext uri="{FF2B5EF4-FFF2-40B4-BE49-F238E27FC236}">
              <a16:creationId xmlns:a16="http://schemas.microsoft.com/office/drawing/2014/main" id="{9DFB8155-326B-4ED8-823C-982138669DE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11</xdr:col>
      <xdr:colOff>52109</xdr:colOff>
      <xdr:row>18</xdr:row>
      <xdr:rowOff>19610</xdr:rowOff>
    </xdr:from>
    <xdr:to>
      <xdr:col>18</xdr:col>
      <xdr:colOff>149039</xdr:colOff>
      <xdr:row>33</xdr:row>
      <xdr:rowOff>105335</xdr:rowOff>
    </xdr:to>
    <xdr:graphicFrame macro="">
      <xdr:nvGraphicFramePr>
        <xdr:cNvPr id="5" name="Chart 4">
          <a:extLst>
            <a:ext uri="{FF2B5EF4-FFF2-40B4-BE49-F238E27FC236}">
              <a16:creationId xmlns:a16="http://schemas.microsoft.com/office/drawing/2014/main" id="{87288440-A4EE-4E48-9EE6-B6B1985D508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488156</xdr:colOff>
      <xdr:row>35</xdr:row>
      <xdr:rowOff>0</xdr:rowOff>
    </xdr:from>
    <xdr:to>
      <xdr:col>16</xdr:col>
      <xdr:colOff>25976</xdr:colOff>
      <xdr:row>40</xdr:row>
      <xdr:rowOff>0</xdr:rowOff>
    </xdr:to>
    <xdr:sp macro="" textlink="">
      <xdr:nvSpPr>
        <xdr:cNvPr id="6" name="TextBox 5">
          <a:extLst>
            <a:ext uri="{FF2B5EF4-FFF2-40B4-BE49-F238E27FC236}">
              <a16:creationId xmlns:a16="http://schemas.microsoft.com/office/drawing/2014/main" id="{BD8C23CF-03EF-4189-A499-8A7109C7016D}"/>
            </a:ext>
          </a:extLst>
        </xdr:cNvPr>
        <xdr:cNvSpPr txBox="1"/>
      </xdr:nvSpPr>
      <xdr:spPr>
        <a:xfrm>
          <a:off x="488156" y="5917406"/>
          <a:ext cx="10158195" cy="83343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b="1">
              <a:solidFill>
                <a:srgbClr val="FF0000"/>
              </a:solidFill>
            </a:rPr>
            <a:t>*</a:t>
          </a:r>
          <a:r>
            <a:rPr lang="en-US" sz="1100" baseline="0"/>
            <a:t> Increase in working capital is partially driven by increase in turnover of appr. +11% and as such is funded by the generated operational profits (EBITDA), of appr. EUR 2.4m. Yet, part of the increase in WC is funded by increase in net debt related to business operations of appr. EUR 1.2m as indicated on the Net Debt overview.</a:t>
          </a:r>
        </a:p>
        <a:p>
          <a:r>
            <a:rPr lang="en-US" sz="1100" baseline="0">
              <a:solidFill>
                <a:srgbClr val="FF0000"/>
              </a:solidFill>
            </a:rPr>
            <a:t>*</a:t>
          </a:r>
          <a:r>
            <a:rPr lang="en-US" sz="1100" baseline="0"/>
            <a:t> The working capital areas that require strong focus and actions are related to AR (21% increase compared to Dec'21) and inventory (37% increase, partially driven by increases in lead slag &amp; dust quanties)</a:t>
          </a:r>
          <a:endParaRPr lang="bg-BG"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84667</xdr:colOff>
      <xdr:row>3</xdr:row>
      <xdr:rowOff>49120</xdr:rowOff>
    </xdr:from>
    <xdr:to>
      <xdr:col>8</xdr:col>
      <xdr:colOff>294467</xdr:colOff>
      <xdr:row>18</xdr:row>
      <xdr:rowOff>95250</xdr:rowOff>
    </xdr:to>
    <xdr:graphicFrame macro="">
      <xdr:nvGraphicFramePr>
        <xdr:cNvPr id="2" name="Chart 1">
          <a:extLst>
            <a:ext uri="{FF2B5EF4-FFF2-40B4-BE49-F238E27FC236}">
              <a16:creationId xmlns:a16="http://schemas.microsoft.com/office/drawing/2014/main" id="{411366D1-7DEC-6348-B6D9-5C2991543C6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8</xdr:col>
      <xdr:colOff>351117</xdr:colOff>
      <xdr:row>3</xdr:row>
      <xdr:rowOff>22785</xdr:rowOff>
    </xdr:from>
    <xdr:to>
      <xdr:col>11</xdr:col>
      <xdr:colOff>34985</xdr:colOff>
      <xdr:row>19</xdr:row>
      <xdr:rowOff>102721</xdr:rowOff>
    </xdr:to>
    <xdr:graphicFrame macro="">
      <xdr:nvGraphicFramePr>
        <xdr:cNvPr id="3" name="Chart 2">
          <a:extLst>
            <a:ext uri="{FF2B5EF4-FFF2-40B4-BE49-F238E27FC236}">
              <a16:creationId xmlns:a16="http://schemas.microsoft.com/office/drawing/2014/main" id="{59480B09-ABB6-F441-93A8-9EB8901AEE3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33617</xdr:colOff>
      <xdr:row>18</xdr:row>
      <xdr:rowOff>145676</xdr:rowOff>
    </xdr:from>
    <xdr:to>
      <xdr:col>9</xdr:col>
      <xdr:colOff>571500</xdr:colOff>
      <xdr:row>39</xdr:row>
      <xdr:rowOff>112059</xdr:rowOff>
    </xdr:to>
    <xdr:graphicFrame macro="">
      <xdr:nvGraphicFramePr>
        <xdr:cNvPr id="4" name="Chart 3">
          <a:extLst>
            <a:ext uri="{FF2B5EF4-FFF2-40B4-BE49-F238E27FC236}">
              <a16:creationId xmlns:a16="http://schemas.microsoft.com/office/drawing/2014/main" id="{396DED6A-CEF5-3C4C-9AD7-AAFB6191AA2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xdr:from>
      <xdr:col>1</xdr:col>
      <xdr:colOff>132976</xdr:colOff>
      <xdr:row>3</xdr:row>
      <xdr:rowOff>80870</xdr:rowOff>
    </xdr:from>
    <xdr:to>
      <xdr:col>8</xdr:col>
      <xdr:colOff>252133</xdr:colOff>
      <xdr:row>18</xdr:row>
      <xdr:rowOff>149412</xdr:rowOff>
    </xdr:to>
    <xdr:graphicFrame macro="">
      <xdr:nvGraphicFramePr>
        <xdr:cNvPr id="2" name="Chart 1">
          <a:extLst>
            <a:ext uri="{FF2B5EF4-FFF2-40B4-BE49-F238E27FC236}">
              <a16:creationId xmlns:a16="http://schemas.microsoft.com/office/drawing/2014/main" id="{932075D2-99F4-4063-9295-6A37A7467A1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8</xdr:col>
      <xdr:colOff>351117</xdr:colOff>
      <xdr:row>3</xdr:row>
      <xdr:rowOff>22785</xdr:rowOff>
    </xdr:from>
    <xdr:to>
      <xdr:col>11</xdr:col>
      <xdr:colOff>34985</xdr:colOff>
      <xdr:row>19</xdr:row>
      <xdr:rowOff>102721</xdr:rowOff>
    </xdr:to>
    <xdr:graphicFrame macro="">
      <xdr:nvGraphicFramePr>
        <xdr:cNvPr id="3" name="Chart 2">
          <a:extLst>
            <a:ext uri="{FF2B5EF4-FFF2-40B4-BE49-F238E27FC236}">
              <a16:creationId xmlns:a16="http://schemas.microsoft.com/office/drawing/2014/main" id="{93F148BD-974A-4CC2-811F-3D869FF62DD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33617</xdr:colOff>
      <xdr:row>18</xdr:row>
      <xdr:rowOff>145676</xdr:rowOff>
    </xdr:from>
    <xdr:to>
      <xdr:col>9</xdr:col>
      <xdr:colOff>571500</xdr:colOff>
      <xdr:row>39</xdr:row>
      <xdr:rowOff>112059</xdr:rowOff>
    </xdr:to>
    <xdr:graphicFrame macro="">
      <xdr:nvGraphicFramePr>
        <xdr:cNvPr id="4" name="Chart 3">
          <a:extLst>
            <a:ext uri="{FF2B5EF4-FFF2-40B4-BE49-F238E27FC236}">
              <a16:creationId xmlns:a16="http://schemas.microsoft.com/office/drawing/2014/main" id="{ECE9319E-4601-42F5-9099-1C8D340DB05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11.xml><?xml version="1.0" encoding="utf-8"?>
<xdr:wsDr xmlns:xdr="http://schemas.openxmlformats.org/drawingml/2006/spreadsheetDrawing" xmlns:a="http://schemas.openxmlformats.org/drawingml/2006/main">
  <xdr:twoCellAnchor>
    <xdr:from>
      <xdr:col>1</xdr:col>
      <xdr:colOff>19050</xdr:colOff>
      <xdr:row>3</xdr:row>
      <xdr:rowOff>123825</xdr:rowOff>
    </xdr:from>
    <xdr:to>
      <xdr:col>12</xdr:col>
      <xdr:colOff>537882</xdr:colOff>
      <xdr:row>21</xdr:row>
      <xdr:rowOff>0</xdr:rowOff>
    </xdr:to>
    <xdr:graphicFrame macro="">
      <xdr:nvGraphicFramePr>
        <xdr:cNvPr id="2" name="Chart 1">
          <a:extLst>
            <a:ext uri="{FF2B5EF4-FFF2-40B4-BE49-F238E27FC236}">
              <a16:creationId xmlns:a16="http://schemas.microsoft.com/office/drawing/2014/main" id="{244391E2-5FB9-41BD-AB5A-43061A99795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12</xdr:col>
      <xdr:colOff>570381</xdr:colOff>
      <xdr:row>3</xdr:row>
      <xdr:rowOff>97490</xdr:rowOff>
    </xdr:from>
    <xdr:to>
      <xdr:col>15</xdr:col>
      <xdr:colOff>549088</xdr:colOff>
      <xdr:row>21</xdr:row>
      <xdr:rowOff>11205</xdr:rowOff>
    </xdr:to>
    <xdr:graphicFrame macro="">
      <xdr:nvGraphicFramePr>
        <xdr:cNvPr id="3" name="Chart 2">
          <a:extLst>
            <a:ext uri="{FF2B5EF4-FFF2-40B4-BE49-F238E27FC236}">
              <a16:creationId xmlns:a16="http://schemas.microsoft.com/office/drawing/2014/main" id="{6A1EFC86-455D-4CAF-B748-2BFC6B23B59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33617</xdr:colOff>
      <xdr:row>21</xdr:row>
      <xdr:rowOff>56029</xdr:rowOff>
    </xdr:from>
    <xdr:to>
      <xdr:col>15</xdr:col>
      <xdr:colOff>381000</xdr:colOff>
      <xdr:row>34</xdr:row>
      <xdr:rowOff>0</xdr:rowOff>
    </xdr:to>
    <xdr:graphicFrame macro="">
      <xdr:nvGraphicFramePr>
        <xdr:cNvPr id="4" name="Chart 3">
          <a:extLst>
            <a:ext uri="{FF2B5EF4-FFF2-40B4-BE49-F238E27FC236}">
              <a16:creationId xmlns:a16="http://schemas.microsoft.com/office/drawing/2014/main" id="{5FA346CE-648B-4FC8-A6EB-730A7EF29D8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12.xml><?xml version="1.0" encoding="utf-8"?>
<xdr:wsDr xmlns:xdr="http://schemas.openxmlformats.org/drawingml/2006/spreadsheetDrawing" xmlns:a="http://schemas.openxmlformats.org/drawingml/2006/main">
  <xdr:twoCellAnchor>
    <xdr:from>
      <xdr:col>1</xdr:col>
      <xdr:colOff>31935</xdr:colOff>
      <xdr:row>3</xdr:row>
      <xdr:rowOff>100853</xdr:rowOff>
    </xdr:from>
    <xdr:to>
      <xdr:col>15</xdr:col>
      <xdr:colOff>515469</xdr:colOff>
      <xdr:row>17</xdr:row>
      <xdr:rowOff>86846</xdr:rowOff>
    </xdr:to>
    <xdr:graphicFrame macro="">
      <xdr:nvGraphicFramePr>
        <xdr:cNvPr id="2" name="Chart 1">
          <a:extLst>
            <a:ext uri="{FF2B5EF4-FFF2-40B4-BE49-F238E27FC236}">
              <a16:creationId xmlns:a16="http://schemas.microsoft.com/office/drawing/2014/main" id="{94E61EF1-AD70-4430-BB28-4CE5A21E0B4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19051</xdr:colOff>
      <xdr:row>18</xdr:row>
      <xdr:rowOff>57150</xdr:rowOff>
    </xdr:from>
    <xdr:to>
      <xdr:col>7</xdr:col>
      <xdr:colOff>600075</xdr:colOff>
      <xdr:row>33</xdr:row>
      <xdr:rowOff>142875</xdr:rowOff>
    </xdr:to>
    <xdr:graphicFrame macro="">
      <xdr:nvGraphicFramePr>
        <xdr:cNvPr id="3" name="Chart 2">
          <a:extLst>
            <a:ext uri="{FF2B5EF4-FFF2-40B4-BE49-F238E27FC236}">
              <a16:creationId xmlns:a16="http://schemas.microsoft.com/office/drawing/2014/main" id="{D052A6CE-0DD7-4F51-803A-DF1CC5C77AB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5</xdr:col>
      <xdr:colOff>342901</xdr:colOff>
      <xdr:row>18</xdr:row>
      <xdr:rowOff>19050</xdr:rowOff>
    </xdr:from>
    <xdr:to>
      <xdr:col>13</xdr:col>
      <xdr:colOff>85725</xdr:colOff>
      <xdr:row>33</xdr:row>
      <xdr:rowOff>104775</xdr:rowOff>
    </xdr:to>
    <xdr:graphicFrame macro="">
      <xdr:nvGraphicFramePr>
        <xdr:cNvPr id="4" name="Chart 3">
          <a:extLst>
            <a:ext uri="{FF2B5EF4-FFF2-40B4-BE49-F238E27FC236}">
              <a16:creationId xmlns:a16="http://schemas.microsoft.com/office/drawing/2014/main" id="{AA914138-F05D-4559-A2B8-C16934A438A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11</xdr:col>
      <xdr:colOff>52109</xdr:colOff>
      <xdr:row>18</xdr:row>
      <xdr:rowOff>19610</xdr:rowOff>
    </xdr:from>
    <xdr:to>
      <xdr:col>18</xdr:col>
      <xdr:colOff>149039</xdr:colOff>
      <xdr:row>33</xdr:row>
      <xdr:rowOff>105335</xdr:rowOff>
    </xdr:to>
    <xdr:graphicFrame macro="">
      <xdr:nvGraphicFramePr>
        <xdr:cNvPr id="5" name="Chart 4">
          <a:extLst>
            <a:ext uri="{FF2B5EF4-FFF2-40B4-BE49-F238E27FC236}">
              <a16:creationId xmlns:a16="http://schemas.microsoft.com/office/drawing/2014/main" id="{FF77745C-CC17-4DA8-971E-82EF10E6E21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xdr:col>
      <xdr:colOff>3202</xdr:colOff>
      <xdr:row>35</xdr:row>
      <xdr:rowOff>0</xdr:rowOff>
    </xdr:from>
    <xdr:to>
      <xdr:col>16</xdr:col>
      <xdr:colOff>95250</xdr:colOff>
      <xdr:row>40</xdr:row>
      <xdr:rowOff>11906</xdr:rowOff>
    </xdr:to>
    <xdr:sp macro="" textlink="">
      <xdr:nvSpPr>
        <xdr:cNvPr id="6" name="TextBox 5">
          <a:extLst>
            <a:ext uri="{FF2B5EF4-FFF2-40B4-BE49-F238E27FC236}">
              <a16:creationId xmlns:a16="http://schemas.microsoft.com/office/drawing/2014/main" id="{B06D438A-0F94-483F-8EF7-9B2A5FAAB320}"/>
            </a:ext>
          </a:extLst>
        </xdr:cNvPr>
        <xdr:cNvSpPr txBox="1"/>
      </xdr:nvSpPr>
      <xdr:spPr>
        <a:xfrm>
          <a:off x="598515" y="5917406"/>
          <a:ext cx="10117110" cy="84534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b="1">
              <a:solidFill>
                <a:srgbClr val="FF0000"/>
              </a:solidFill>
            </a:rPr>
            <a:t>*</a:t>
          </a:r>
          <a:r>
            <a:rPr lang="en-US" sz="1100" baseline="0"/>
            <a:t> Increase in working capital is partially driven by increase in turnove of appr. +15% and as such is funded by the generated operational profits (EBITDA), of appr. EUR 2m. Yet, part of the increase in WC is funded by increase in net debt of appr. EUR 1.5m as indicated on the Net Debt overview.</a:t>
          </a:r>
        </a:p>
        <a:p>
          <a:r>
            <a:rPr lang="en-US" sz="1100" baseline="0">
              <a:solidFill>
                <a:srgbClr val="FF0000"/>
              </a:solidFill>
            </a:rPr>
            <a:t>*</a:t>
          </a:r>
          <a:r>
            <a:rPr lang="en-US" sz="1100" baseline="0"/>
            <a:t> The working capital areas that require strong focus and actions are related to AR (29% increase compared to Dec'21) and inventory (28% increase, partially driven by increaes in lead slag &amp; dust quanties)</a:t>
          </a:r>
          <a:endParaRPr lang="bg-BG" sz="1100"/>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159545</xdr:colOff>
      <xdr:row>3</xdr:row>
      <xdr:rowOff>118269</xdr:rowOff>
    </xdr:from>
    <xdr:to>
      <xdr:col>6</xdr:col>
      <xdr:colOff>76200</xdr:colOff>
      <xdr:row>31</xdr:row>
      <xdr:rowOff>38100</xdr:rowOff>
    </xdr:to>
    <xdr:graphicFrame macro="">
      <xdr:nvGraphicFramePr>
        <xdr:cNvPr id="2" name="Chart 1">
          <a:extLst>
            <a:ext uri="{FF2B5EF4-FFF2-40B4-BE49-F238E27FC236}">
              <a16:creationId xmlns:a16="http://schemas.microsoft.com/office/drawing/2014/main" id="{BCDCD439-C1AA-44AD-97B7-F3C7ABFDAC2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4.xml><?xml version="1.0" encoding="utf-8"?>
<xdr:wsDr xmlns:xdr="http://schemas.openxmlformats.org/drawingml/2006/spreadsheetDrawing" xmlns:a="http://schemas.openxmlformats.org/drawingml/2006/main">
  <xdr:twoCellAnchor editAs="oneCell">
    <xdr:from>
      <xdr:col>1</xdr:col>
      <xdr:colOff>198120</xdr:colOff>
      <xdr:row>3</xdr:row>
      <xdr:rowOff>71992</xdr:rowOff>
    </xdr:from>
    <xdr:to>
      <xdr:col>3</xdr:col>
      <xdr:colOff>3009904</xdr:colOff>
      <xdr:row>26</xdr:row>
      <xdr:rowOff>50579</xdr:rowOff>
    </xdr:to>
    <xdr:pic>
      <xdr:nvPicPr>
        <xdr:cNvPr id="2" name="Picture 1">
          <a:extLst>
            <a:ext uri="{FF2B5EF4-FFF2-40B4-BE49-F238E27FC236}">
              <a16:creationId xmlns:a16="http://schemas.microsoft.com/office/drawing/2014/main" id="{39746677-C858-7560-8678-AFC9B7A3D48A}"/>
            </a:ext>
          </a:extLst>
        </xdr:cNvPr>
        <xdr:cNvPicPr>
          <a:picLocks noChangeAspect="1"/>
        </xdr:cNvPicPr>
      </xdr:nvPicPr>
      <xdr:blipFill>
        <a:blip xmlns:r="http://schemas.openxmlformats.org/officeDocument/2006/relationships" r:embed="rId1"/>
        <a:stretch>
          <a:fillRect/>
        </a:stretch>
      </xdr:blipFill>
      <xdr:spPr>
        <a:xfrm>
          <a:off x="510540" y="864472"/>
          <a:ext cx="10073644" cy="4535347"/>
        </a:xfrm>
        <a:prstGeom prst="rect">
          <a:avLst/>
        </a:prstGeom>
      </xdr:spPr>
    </xdr:pic>
    <xdr:clientData/>
  </xdr:twoCellAnchor>
  <xdr:twoCellAnchor editAs="oneCell">
    <xdr:from>
      <xdr:col>1</xdr:col>
      <xdr:colOff>373380</xdr:colOff>
      <xdr:row>27</xdr:row>
      <xdr:rowOff>106680</xdr:rowOff>
    </xdr:from>
    <xdr:to>
      <xdr:col>6</xdr:col>
      <xdr:colOff>474605</xdr:colOff>
      <xdr:row>60</xdr:row>
      <xdr:rowOff>73482</xdr:rowOff>
    </xdr:to>
    <xdr:pic>
      <xdr:nvPicPr>
        <xdr:cNvPr id="3" name="Picture 2">
          <a:extLst>
            <a:ext uri="{FF2B5EF4-FFF2-40B4-BE49-F238E27FC236}">
              <a16:creationId xmlns:a16="http://schemas.microsoft.com/office/drawing/2014/main" id="{D53C5E06-7715-3FB6-6F2C-76FD8EF89960}"/>
            </a:ext>
          </a:extLst>
        </xdr:cNvPr>
        <xdr:cNvPicPr>
          <a:picLocks noChangeAspect="1"/>
        </xdr:cNvPicPr>
      </xdr:nvPicPr>
      <xdr:blipFill>
        <a:blip xmlns:r="http://schemas.openxmlformats.org/officeDocument/2006/relationships" r:embed="rId2"/>
        <a:stretch>
          <a:fillRect/>
        </a:stretch>
      </xdr:blipFill>
      <xdr:spPr>
        <a:xfrm>
          <a:off x="685800" y="5654040"/>
          <a:ext cx="13161905" cy="6504762"/>
        </a:xfrm>
        <a:prstGeom prst="rect">
          <a:avLst/>
        </a:prstGeom>
      </xdr:spPr>
    </xdr:pic>
    <xdr:clientData/>
  </xdr:twoCellAnchor>
  <xdr:twoCellAnchor editAs="oneCell">
    <xdr:from>
      <xdr:col>6</xdr:col>
      <xdr:colOff>342900</xdr:colOff>
      <xdr:row>15</xdr:row>
      <xdr:rowOff>137160</xdr:rowOff>
    </xdr:from>
    <xdr:to>
      <xdr:col>16</xdr:col>
      <xdr:colOff>75395</xdr:colOff>
      <xdr:row>48</xdr:row>
      <xdr:rowOff>46819</xdr:rowOff>
    </xdr:to>
    <xdr:pic>
      <xdr:nvPicPr>
        <xdr:cNvPr id="4" name="Picture 3">
          <a:extLst>
            <a:ext uri="{FF2B5EF4-FFF2-40B4-BE49-F238E27FC236}">
              <a16:creationId xmlns:a16="http://schemas.microsoft.com/office/drawing/2014/main" id="{BC4BA106-A067-F80B-74FC-6DD1B3BAD8F5}"/>
            </a:ext>
          </a:extLst>
        </xdr:cNvPr>
        <xdr:cNvPicPr>
          <a:picLocks noChangeAspect="1"/>
        </xdr:cNvPicPr>
      </xdr:nvPicPr>
      <xdr:blipFill>
        <a:blip xmlns:r="http://schemas.openxmlformats.org/officeDocument/2006/relationships" r:embed="rId3"/>
        <a:stretch>
          <a:fillRect/>
        </a:stretch>
      </xdr:blipFill>
      <xdr:spPr>
        <a:xfrm>
          <a:off x="13716000" y="3307080"/>
          <a:ext cx="6438095" cy="6447619"/>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1</xdr:col>
      <xdr:colOff>121920</xdr:colOff>
      <xdr:row>2</xdr:row>
      <xdr:rowOff>53340</xdr:rowOff>
    </xdr:from>
    <xdr:to>
      <xdr:col>10</xdr:col>
      <xdr:colOff>604788</xdr:colOff>
      <xdr:row>32</xdr:row>
      <xdr:rowOff>43073</xdr:rowOff>
    </xdr:to>
    <xdr:pic>
      <xdr:nvPicPr>
        <xdr:cNvPr id="2" name="Picture 1">
          <a:extLst>
            <a:ext uri="{FF2B5EF4-FFF2-40B4-BE49-F238E27FC236}">
              <a16:creationId xmlns:a16="http://schemas.microsoft.com/office/drawing/2014/main" id="{7EBFDF59-8872-A6B1-E647-7F3783FA6F23}"/>
            </a:ext>
          </a:extLst>
        </xdr:cNvPr>
        <xdr:cNvPicPr>
          <a:picLocks noChangeAspect="1"/>
        </xdr:cNvPicPr>
      </xdr:nvPicPr>
      <xdr:blipFill>
        <a:blip xmlns:r="http://schemas.openxmlformats.org/officeDocument/2006/relationships" r:embed="rId1"/>
        <a:stretch>
          <a:fillRect/>
        </a:stretch>
      </xdr:blipFill>
      <xdr:spPr>
        <a:xfrm>
          <a:off x="472440" y="449580"/>
          <a:ext cx="8019048" cy="5933333"/>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1</xdr:col>
      <xdr:colOff>160020</xdr:colOff>
      <xdr:row>5</xdr:row>
      <xdr:rowOff>109538</xdr:rowOff>
    </xdr:from>
    <xdr:to>
      <xdr:col>9</xdr:col>
      <xdr:colOff>381004</xdr:colOff>
      <xdr:row>24</xdr:row>
      <xdr:rowOff>73639</xdr:rowOff>
    </xdr:to>
    <xdr:pic>
      <xdr:nvPicPr>
        <xdr:cNvPr id="2" name="Picture 1">
          <a:extLst>
            <a:ext uri="{FF2B5EF4-FFF2-40B4-BE49-F238E27FC236}">
              <a16:creationId xmlns:a16="http://schemas.microsoft.com/office/drawing/2014/main" id="{1563CA92-7F32-EDD8-9C63-CFCBAD4663F2}"/>
            </a:ext>
          </a:extLst>
        </xdr:cNvPr>
        <xdr:cNvPicPr>
          <a:picLocks noChangeAspect="1"/>
        </xdr:cNvPicPr>
      </xdr:nvPicPr>
      <xdr:blipFill>
        <a:blip xmlns:r="http://schemas.openxmlformats.org/officeDocument/2006/relationships" r:embed="rId1"/>
        <a:stretch>
          <a:fillRect/>
        </a:stretch>
      </xdr:blipFill>
      <xdr:spPr>
        <a:xfrm>
          <a:off x="472440" y="1100138"/>
          <a:ext cx="9966964" cy="3438821"/>
        </a:xfrm>
        <a:prstGeom prst="rect">
          <a:avLst/>
        </a:prstGeom>
      </xdr:spPr>
    </xdr:pic>
    <xdr:clientData/>
  </xdr:twoCellAnchor>
  <xdr:twoCellAnchor editAs="oneCell">
    <xdr:from>
      <xdr:col>11</xdr:col>
      <xdr:colOff>579120</xdr:colOff>
      <xdr:row>0</xdr:row>
      <xdr:rowOff>0</xdr:rowOff>
    </xdr:from>
    <xdr:to>
      <xdr:col>23</xdr:col>
      <xdr:colOff>558910</xdr:colOff>
      <xdr:row>25</xdr:row>
      <xdr:rowOff>18476</xdr:rowOff>
    </xdr:to>
    <xdr:pic>
      <xdr:nvPicPr>
        <xdr:cNvPr id="3" name="Picture 2">
          <a:extLst>
            <a:ext uri="{FF2B5EF4-FFF2-40B4-BE49-F238E27FC236}">
              <a16:creationId xmlns:a16="http://schemas.microsoft.com/office/drawing/2014/main" id="{32DAFEFC-6B79-F9D5-8130-AA33317D3133}"/>
            </a:ext>
          </a:extLst>
        </xdr:cNvPr>
        <xdr:cNvPicPr>
          <a:picLocks noChangeAspect="1"/>
        </xdr:cNvPicPr>
      </xdr:nvPicPr>
      <xdr:blipFill>
        <a:blip xmlns:r="http://schemas.openxmlformats.org/officeDocument/2006/relationships" r:embed="rId2"/>
        <a:stretch>
          <a:fillRect/>
        </a:stretch>
      </xdr:blipFill>
      <xdr:spPr>
        <a:xfrm>
          <a:off x="10843260" y="0"/>
          <a:ext cx="9276190" cy="4590476"/>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xdr:from>
      <xdr:col>1</xdr:col>
      <xdr:colOff>113306</xdr:colOff>
      <xdr:row>3</xdr:row>
      <xdr:rowOff>61199</xdr:rowOff>
    </xdr:from>
    <xdr:to>
      <xdr:col>8</xdr:col>
      <xdr:colOff>307168</xdr:colOff>
      <xdr:row>19</xdr:row>
      <xdr:rowOff>27021</xdr:rowOff>
    </xdr:to>
    <xdr:graphicFrame macro="">
      <xdr:nvGraphicFramePr>
        <xdr:cNvPr id="2" name="Chart 1">
          <a:extLst>
            <a:ext uri="{FF2B5EF4-FFF2-40B4-BE49-F238E27FC236}">
              <a16:creationId xmlns:a16="http://schemas.microsoft.com/office/drawing/2014/main" id="{8680A221-2315-430E-BE4B-AE879C5D3FC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8</xdr:col>
      <xdr:colOff>313764</xdr:colOff>
      <xdr:row>2</xdr:row>
      <xdr:rowOff>153519</xdr:rowOff>
    </xdr:from>
    <xdr:to>
      <xdr:col>10</xdr:col>
      <xdr:colOff>607979</xdr:colOff>
      <xdr:row>19</xdr:row>
      <xdr:rowOff>56029</xdr:rowOff>
    </xdr:to>
    <xdr:graphicFrame macro="">
      <xdr:nvGraphicFramePr>
        <xdr:cNvPr id="3" name="Chart 2">
          <a:extLst>
            <a:ext uri="{FF2B5EF4-FFF2-40B4-BE49-F238E27FC236}">
              <a16:creationId xmlns:a16="http://schemas.microsoft.com/office/drawing/2014/main" id="{45DC98F4-762B-411F-B7CC-EC81A9AAC59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10</xdr:col>
      <xdr:colOff>56029</xdr:colOff>
      <xdr:row>3</xdr:row>
      <xdr:rowOff>11205</xdr:rowOff>
    </xdr:from>
    <xdr:to>
      <xdr:col>14</xdr:col>
      <xdr:colOff>605117</xdr:colOff>
      <xdr:row>20</xdr:row>
      <xdr:rowOff>123264</xdr:rowOff>
    </xdr:to>
    <xdr:graphicFrame macro="">
      <xdr:nvGraphicFramePr>
        <xdr:cNvPr id="4" name="Chart 3">
          <a:extLst>
            <a:ext uri="{FF2B5EF4-FFF2-40B4-BE49-F238E27FC236}">
              <a16:creationId xmlns:a16="http://schemas.microsoft.com/office/drawing/2014/main" id="{D444922B-9D18-4E39-BE42-3D5BA194D66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xdr:col>
      <xdr:colOff>33617</xdr:colOff>
      <xdr:row>18</xdr:row>
      <xdr:rowOff>145676</xdr:rowOff>
    </xdr:from>
    <xdr:to>
      <xdr:col>9</xdr:col>
      <xdr:colOff>571500</xdr:colOff>
      <xdr:row>39</xdr:row>
      <xdr:rowOff>112059</xdr:rowOff>
    </xdr:to>
    <xdr:graphicFrame macro="">
      <xdr:nvGraphicFramePr>
        <xdr:cNvPr id="5" name="Chart 4">
          <a:extLst>
            <a:ext uri="{FF2B5EF4-FFF2-40B4-BE49-F238E27FC236}">
              <a16:creationId xmlns:a16="http://schemas.microsoft.com/office/drawing/2014/main" id="{BA1FF0A2-62EC-45C4-A4C9-4A840567E38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18.xml><?xml version="1.0" encoding="utf-8"?>
<xdr:wsDr xmlns:xdr="http://schemas.openxmlformats.org/drawingml/2006/spreadsheetDrawing" xmlns:a="http://schemas.openxmlformats.org/drawingml/2006/main">
  <xdr:twoCellAnchor>
    <xdr:from>
      <xdr:col>1</xdr:col>
      <xdr:colOff>19050</xdr:colOff>
      <xdr:row>3</xdr:row>
      <xdr:rowOff>123825</xdr:rowOff>
    </xdr:from>
    <xdr:to>
      <xdr:col>11</xdr:col>
      <xdr:colOff>537882</xdr:colOff>
      <xdr:row>21</xdr:row>
      <xdr:rowOff>0</xdr:rowOff>
    </xdr:to>
    <xdr:graphicFrame macro="">
      <xdr:nvGraphicFramePr>
        <xdr:cNvPr id="2" name="Chart 1">
          <a:extLst>
            <a:ext uri="{FF2B5EF4-FFF2-40B4-BE49-F238E27FC236}">
              <a16:creationId xmlns:a16="http://schemas.microsoft.com/office/drawing/2014/main" id="{F48440FC-4D67-474C-A77A-F696505249F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11</xdr:col>
      <xdr:colOff>570381</xdr:colOff>
      <xdr:row>3</xdr:row>
      <xdr:rowOff>97490</xdr:rowOff>
    </xdr:from>
    <xdr:to>
      <xdr:col>14</xdr:col>
      <xdr:colOff>549088</xdr:colOff>
      <xdr:row>21</xdr:row>
      <xdr:rowOff>11205</xdr:rowOff>
    </xdr:to>
    <xdr:graphicFrame macro="">
      <xdr:nvGraphicFramePr>
        <xdr:cNvPr id="3" name="Chart 2">
          <a:extLst>
            <a:ext uri="{FF2B5EF4-FFF2-40B4-BE49-F238E27FC236}">
              <a16:creationId xmlns:a16="http://schemas.microsoft.com/office/drawing/2014/main" id="{E78351AE-7205-4C9A-ADFA-DEB147E1388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11</xdr:col>
      <xdr:colOff>44824</xdr:colOff>
      <xdr:row>19</xdr:row>
      <xdr:rowOff>112059</xdr:rowOff>
    </xdr:from>
    <xdr:to>
      <xdr:col>14</xdr:col>
      <xdr:colOff>537882</xdr:colOff>
      <xdr:row>33</xdr:row>
      <xdr:rowOff>89648</xdr:rowOff>
    </xdr:to>
    <xdr:graphicFrame macro="">
      <xdr:nvGraphicFramePr>
        <xdr:cNvPr id="4" name="Chart 3">
          <a:extLst>
            <a:ext uri="{FF2B5EF4-FFF2-40B4-BE49-F238E27FC236}">
              <a16:creationId xmlns:a16="http://schemas.microsoft.com/office/drawing/2014/main" id="{4BD4A88F-0F95-4A3A-B27E-4EC65C9D2AE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xdr:col>
      <xdr:colOff>33617</xdr:colOff>
      <xdr:row>21</xdr:row>
      <xdr:rowOff>56029</xdr:rowOff>
    </xdr:from>
    <xdr:to>
      <xdr:col>11</xdr:col>
      <xdr:colOff>280146</xdr:colOff>
      <xdr:row>34</xdr:row>
      <xdr:rowOff>0</xdr:rowOff>
    </xdr:to>
    <xdr:graphicFrame macro="">
      <xdr:nvGraphicFramePr>
        <xdr:cNvPr id="5" name="Chart 4">
          <a:extLst>
            <a:ext uri="{FF2B5EF4-FFF2-40B4-BE49-F238E27FC236}">
              <a16:creationId xmlns:a16="http://schemas.microsoft.com/office/drawing/2014/main" id="{4CF40862-CD7D-4DDE-A03C-40B18E3068D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monbat-my.sharepoint.com/dtw/applications/A/Datawarehouse/DWADP/BILAN.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monbat-my.sharepoint.com/SRV-BULADVISORS/Data/Users/IVOTOD~1/AppData/Local/Temp/TR/12fnslyntm/bkmonrm/Butce/2002REV&#304;ZEBUTCE/Trgen2002REV&#304;ZE.xls" TargetMode="External"/></Relationships>
</file>

<file path=xl/externalLinks/_rels/externalLink3.xml.rels><?xml version="1.0" encoding="UTF-8" standalone="yes"?>
<Relationships xmlns="http://schemas.openxmlformats.org/package/2006/relationships"><Relationship Id="rId2" Type="http://schemas.microsoft.com/office/2019/04/relationships/externalLinkLongPath" Target="https://monbat.sharepoint.com/Users/peterbozadjiev/Documents/OneDrive%20-%20Prista%20Oil/Monbat/MNP/PMO/Financials/SRV-BULADVISORS/Data/Users/IVOTOD~1/AppData/Local/Temp/TR/12fnslyntm/bkmonrm/Butce/2002REV&#304;ZEBUTCE/Trgen2002REV&#304;ZE.xls?376A8674" TargetMode="External"/><Relationship Id="rId1" Type="http://schemas.openxmlformats.org/officeDocument/2006/relationships/externalLinkPath" Target="file:///\\376A8674\Trgen2002REV&#304;ZE.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s://monbat-my.sharepoint.com/ROEYA0133/aws/Mihaela/Clients/ICME/Compilations/Compilation%20June%202003/Mihaela/Clients/ICME/Limited%20reviews/June%202003/Traditional%20Audit/K%20-%20Fixed%20Assets/FA%20register%2030062003.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s://monbat.sharepoint.com/Users/peterbozadjiev/Documents/OneDrive%20-%20Prista%20Oil/Monbat/MNP/PMO/Financials/D:/TR/12fnslyntm/bkmonrm/Butce/2002REV&#304;ZEBUTCE/Trgen2002REV&#304;ZE.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monbat-my.sharepoint.com/TR/12fnslyntm/bkmonrm/Butce/2002REV&#304;ZEBUTCE/Trgen2002REV&#304;ZE.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D:\TR\12fnslyntm\bkmonrm\Butce\2002REV&#304;ZEBUTCE\Trgen2002REV&#304;ZE.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collaboration.nl.deloitte.com/Users/evanvianen/AppData/Local/Microsoft/Windows/Temporary%20Internet%20Files/Content.Outlook/SKGPQDDW/CMA%20Workbook.xlsm"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s://monbat-my.sharepoint.com/FSSF01.grp.prista-oil.com/Personal/Users/viktor.spiriev/Personal/Viktor%20Old%20Files/2013/Audit/Monbat%202013/&#1050;&#1086;&#1085;&#1089;&#1086;&#1083;&#1080;&#1076;&#1072;&#1094;&#1080;&#1086;&#1085;&#1085;&#1080;%20&#1092;&#1072;&#1081;&#1083;&#1086;&#1074;&#1077;/Consols/OTCHETIGRUPA_2013_working_version2.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monbat.sharepoint.com/Users/viktor.spiriev/Personal/Viktor%20Old%20Files/2013/Audit/Monbat%202013/&#1050;&#1086;&#1085;&#1089;&#1086;&#1083;&#1080;&#1076;&#1072;&#1094;&#1080;&#1086;&#1085;&#1085;&#1080;%20&#1092;&#1072;&#1081;&#1083;&#1086;&#1074;&#1077;/Consols/OTCHETIGRUPA_2013_working_version2.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prista-my.sharepoint.com/Users/viktor.spiriev/Personal/Viktor%20Old%20Files/2013/Audit/Monbat%202013/&#1050;&#1086;&#1085;&#1089;&#1086;&#1083;&#1080;&#1076;&#1072;&#1094;&#1080;&#1086;&#1085;&#1085;&#1080;%20&#1092;&#1072;&#1081;&#1083;&#1086;&#1074;&#1077;/Consols/OTCHETIGRUPA_2013_working_version2.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Users/viktor.spiriev/Personal/Viktor%20Old%20Files/2013/Audit/Monbat%202013/&#1050;&#1086;&#1085;&#1089;&#1086;&#1083;&#1080;&#1076;&#1072;&#1094;&#1080;&#1086;&#1085;&#1085;&#1080;%20&#1092;&#1072;&#1081;&#1083;&#1086;&#1074;&#1077;/Consols/OTCHETIGRUPA_2013_working_version2.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monbat-my.sharepoint.com/Tntunc01/FINANCE/CPM%20%20FILES/OPTUN.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https://monbat-my.sharepoint.com/Mohamed-kallel/ANIS%20BEN%20ABDALLAH/Documents%20and%20Settings/amc/My%20Documents/MISSION/SCHNEIDER/schneider%2030-06-01/AUDIT/Examun%20analytique%20juin%202001.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monbat-my.sharepoint.com/Mohamed-kallel/ANIS%20BEN%20ABDALLAH/Documents%20and%20Settings/maint/My%20Documents/MISSION/VCT/AUDIT%202001/LIVRABLE%20EXTERNE/vct%20exam.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monbat.sharepoint.com/Users/ivan.georgiev/Desktop/Treasury%20contracts-%20information/Start%20banks/2019/Start%20AD%2031.12.2019.xlsx"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monbat-my.sharepoint.com/Ro001/AABS/WIP/2002/ICME%20ECAB%20SA%20-%20June%202002/Compilation%20Sept%2002/Financials/ICME%20ECAB_31.12.01_9.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Users/vladimir.vasilev/AppData/Local/Microsoft/Windows/INetCache/Content.Outlook/6Q9GPCYU/BALANSMONFormi_KFN_Mezdinni122021KONSOLID.xlsx"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https://monbat-my.sharepoint.com/Travail/COMPTA%20PAR%20STE/GROUPE%20SNA/SNA%20NOUR/D.COMPTABLE/2022/BILAN%20ET%20ETAT%20DE%20RST%20SNA%202022/ETAT%20DE%20RESULTAT%20SNA%2002-2022%20%20VF.xlsx"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https://monbat-my.sharepoint.com/DTW/APPLICATIONS/Compta/BalanceAux.xlt"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https://monbat-my.sharepoint.com/DTW2/applications/compta/BalanceAux.xlt"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monbat.sharepoint.com/DTW/APPLICATIONS/Compta/BalanceAux.xlt"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monbat-my.sharepoint.com/dc1/userdata$/MUHASEBE-ACCOUNTING/BUTCE_2008_%20CEE/NAKITAKIM/2008%20BUTCE/BP-Butce-2008%20(BGN).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monbat.sharepoint.com/Users/peterbozadjiev/Documents/OneDrive%20-%20Prista%20Oil/Monbat/MNP/PMO/Financials/dc1/userdata$/MUHASEBE-ACCOUNTING/BUTCE_2008_%20CEE/NAKITAKIM/2008%20BUTCE/BP-Butce-2008%20(BGN).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collaboration.nl.deloitte.com/Users/pseegers/Documents/clients/Tyco/Tyco%20Thermal%20Controls/Narvik%20Yarway/2222%20Checklist_Jaarverslaggeving_2005.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monbat-my.sharepoint.com/dtw/applications/compta/BILAN.xlt"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https://monbat-my.sharepoint.com/Nts/bases/Documents%20and%20Settings/mehdi/Bureau/avec%20amc/livrables%202003/BG%2003%20Sans%20S%20D%20S%20GLOB.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monbat.sharepoint.com/Users/peterbozadjiev/Documents/OneDrive%20-%20Prista%20Oil/Monbat/MNP/PMO/Financials/Ro001/AABS/WIP/2002/ICME%20ECAB%20SA%20-%20June%202002/Compilation%20Sept%2002/Financials/ICME%20ECAB_31.12.01_9.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http://collaboration.nl.deloitte.com/Documents%20and%20Settings/abucaro/My%20Documents/_Clients%20-%20general/Sarbanes-Oxley/Tools%20-%20AS2/Industry%20Workbooks.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http://collaboration.nl.deloitte.com/Documents%20and%20Settings/mickeyes/Local%20Settings/Temporary%20Internet%20Files/OLK3/5140%20Cash%20-%20Workpaper.xls" TargetMode="External"/></Relationships>
</file>

<file path=xl/externalLinks/_rels/externalLink31.xml.rels><?xml version="1.0" encoding="UTF-8" standalone="yes"?>
<Relationships xmlns="http://schemas.openxmlformats.org/package/2006/relationships"><Relationship Id="rId1" Type="http://schemas.microsoft.com/office/2006/relationships/xlExternalLinkPath/xlPathMissing" Target="Worksheet%20in%20%20%20formules%20en%20tabel%20detailwaarnemingen%20comp%20mode"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https://monbat-my.sharepoint.com/plssc0002/adc$/Users/Jbode/Documents/Engagements/Overig/India%20cursus/CASH%20-%20AR%20-%20Procedure%20check/20151104%20Sub.%20Test.%20AR%20test.xlsx"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collaboration.nl.deloitte.com/Users/kmajors/AppData/Local/Temp/wz6379/backup/2340%20Evaluation%20of%20Misstatements%20(06-02)%20%20S%20.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https://monbat.sharepoint.com/sites/MonbatGroupPortal/MBTGroupP/FinanceNew/AnalysisAndPlanning/Budgeting/Shared%20Documents/2022/Worksheet%20in%201611%20Perform%20Preliminary%20Analytical%20Review%20Workbook%20(adjusted%20for%20new%20pack)"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monbat.sharepoint.com/Dimitar%20Monbat/2019/Budgeting%202020/Treasury%20contracts/Monbat%20AD/Monbat%2030.09.2019.xlsx"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monbat.sharepoint.com/Dimitar%20Monbat/2019/Budgeting%202020/Treasury%20contracts/Bank%20Loans%20Interest%202020%20Planning%20IG.xlsx"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monbat.sharepoint.com/Users/ivan.georgiev/Desktop/Treasury%20contracts/Monbat%20AD/Assessment%20of%20impact%20from%20IFRS%209%20on%20Stand%20Alone%20FS%20%20-%20Monbat%20AD.xlsx"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http://collaboration.nl.deloitte.com/Users/rakanwar/AppData/Local/Temp/Deloitte.DA3/Docs/932/1765047036800020353/23600%20Working%20Paper%20Tangible%20&amp;%20Intangible%20Fixed%20Assets.xlsx"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A:\WINDOWS\BUREAU\Mes%20documents\TUN2.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https://monbat-my.sharepoint.com/DOCUME~1/NIZAR_~2/LOCALS~1/Temp/notesE1EF34/&#233;tats%20financiers%20sna%20provisoire%202010.xls" TargetMode="External"/></Relationships>
</file>

<file path=xl/externalLinks/_rels/externalLink41.xml.rels><?xml version="1.0" encoding="UTF-8" standalone="yes"?>
<Relationships xmlns="http://schemas.openxmlformats.org/package/2006/relationships"><Relationship Id="rId1" Type="http://schemas.microsoft.com/office/2006/relationships/xlExternalLinkPath/xlPathMissing" Target="&#1044;&#1044;&#1057;%20&#1050;&#1086;&#1088;&#1077;&#1089;&#1087;&#1086;&#1085;&#1076;&#1077;&#1085;&#1094;&#1080;&#1080;"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monbat-my.sharepoint.com/IVAN_NACHEV/Networks/08.10.2006/Bojo/Proizvodstvo/KonstrSrartTip-050531P-K.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https://monbat-my.sharepoint.com/nl/data/Users/Kvanhal/Documents/Projects/Deloitte%20-%20Distinctive%20Audit/TWI%20phase%202/Sub.%20Test.%202/Cash/20151109%20Sub%20%20Test%20%20Cash%20test%20auto%20links%20overview%20-%20KvH.xlsx"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collaboration.nl.deloitte.com/Users/rakanwar/Documents/General%20Deloitte/Templates%20initiative/The%20template%20reviewed%20by%20the%20partner/Accounts%20Receivables%20-%20DRAFT%20PJS.xlsx"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https://monbat.sharepoint.com/Users/e.todaro/AppData/Local/Microsoft/Windows/INetCache/Content.Outlook/JZKSFD61/2021_Budget%20V1-ET.xlsx"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https://monbat.sharepoint.com/Users/ViktorSpiriev/AppData/Local/Microsoft/Windows/INetCache/Content.Outlook/CC39ML5O/Performance/2020/Piani%20amortamento.xlsx"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monbat-my.sharepoint.com/dtw/applications/compta/Ecritures.xlt"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https://monbat-my.sharepoint.com/DTW2/applications/compta/Ecritures.xlt"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monbat-my.sharepoint.com/dtw/applications/compta/EcrituresDET.xlt"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https://monbat-my.sharepoint.com/DTW2/applications/compta/EcrituresDET.xlt"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monbat-my.sharepoint.com/dtw/applications/compta/EcrituresAux.xlt"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monbat-my.sharepoint.com/DTW2/applications/compta/EcrituresAux.xlt"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http://collaboration.nl.deloitte.com/Users/frjanssen/Desktop/OPEX%20template.xlsx"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monbat.sharepoint.com/sites/MonbatGroupPortal/MBTGroupP/FinanceNew/Shared%20Documents/Board%20Presentation/October%202022/Loan%20and%20Lease.Installments_Oct%6022-Jan%6023.xlsx"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monbat-my.sharepoint.com/Ro001/AABS/WIP/2002/ICME%20ECAB%20SA%20-%20June%202002/Compilation%20Sept%2002/Financials/FS%2006%2030%202002%20with%20new%20FA%20for%20FS.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monbat.sharepoint.com/Users/peterbozadjiev/Documents/OneDrive%20-%20Prista%20Oil/Monbat/MNP/PMO/Financials/Ro001/AABS/WIP/2002/ICME%20ECAB%20SA%20-%20June%202002/Compilation%20Sept%2002/Financials/FS%2006%2030%202002%20with%20new%20FA%20for%20FS.xls?962337AD" TargetMode="External"/><Relationship Id="rId1" Type="http://schemas.openxmlformats.org/officeDocument/2006/relationships/externalLinkPath" Target="file:///\\962337AD\FS%2006%2030%202002%20with%20new%20FA%20for%20FS.xls" TargetMode="External"/></Relationships>
</file>

<file path=xl/externalLinks/_rels/externalLink57.xml.rels><?xml version="1.0" encoding="UTF-8" standalone="yes"?>
<Relationships xmlns="http://schemas.openxmlformats.org/package/2006/relationships"><Relationship Id="rId2" Type="http://schemas.microsoft.com/office/2019/04/relationships/externalLinkLongPath" Target="https://monbat.sharepoint.com/sites/MonbatGroupPortal/MBTGroupP/FinanceNew/Controlling/Projects/NourShared/Shared%20Documents/03.BP%20BS&amp;IS&amp;CF/Worksheet%20in%202263.2%20Statemenf%20of%20Financial%20Position%20as%20of%2031.12.2012%20-%20Combined%20Leadsheet?80B52657" TargetMode="External"/><Relationship Id="rId1" Type="http://schemas.openxmlformats.org/officeDocument/2006/relationships/externalLinkPath" Target="file:///\\80B52657\Worksheet%20in%202263.2%20Statemenf%20of%20Financial%20Position%20as%20of%2031.12.2012%20-%20Combined%20Leadsheet"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Users/vladimir.vasilev/AppData/Local/Microsoft/Windows/INetCache/Content.Outlook/2ACDAZZT/2019/GFO%202019/GFO%20-%20FG%20Batteries/GFO%20-%20FG%20Batteries_01.2019/GFO_BATTERIES_Aggregated_01.2019_v3.xlsx"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https://monbat.sharepoint.com/Users/viktor.spiriev/Documents/Viktor%20Old%20Files/2016/GFO/January%20GFO%20Aggregated/GFO_BATTERIES_Aggregated_January_2016_v1%20Consolidated%20with%20MR%20and%20YU.xlsx"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prista-my.sharepoint.com/Users/viktor.spiriev/Documents/Viktor%20Old%20Files/2016/GFO/January%20GFO%20Aggregated/GFO_BATTERIES_Aggregated_January_2016_v1%20Consolidated%20with%20MR%20and%20YU.xlsx"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monbat-my.sharepoint.com/personal/peter_bozadjiev_monbat_com/Documents/Monbat/2021/Nour/management_reporting/GFO_BATTERIES_Aggregated_April_2016_v1%20Consolidated_batteries%20only.xlsx"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collaboration.nl.deloitte.com/Users/ntanis/AppData/Local/Microsoft/Windows/INetCache/Content.Outlook/S8YUKFPO/Contouren%20template%20significant%20risico%20eerste%204%20sheets%20RW.xlsx" TargetMode="External"/></Relationships>
</file>

<file path=xl/externalLinks/_rels/externalLink63.xml.rels><?xml version="1.0" encoding="UTF-8" standalone="yes"?>
<Relationships xmlns="http://schemas.openxmlformats.org/package/2006/relationships"><Relationship Id="rId1" Type="http://schemas.microsoft.com/office/2006/relationships/xlExternalLinkPath/xlPathMissing" Target="Worksheet%20in%201582%20Cash%20and%20cash%20equivalent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monbat.sharepoint.com/Users/simeon.ivanov/AppData/Local/Microsoft/Windows/INetCache/Content.Outlook/PTQJV30V/2017_09_14%20EAS%20Cell%20Portfolio%20BOM.xlsx"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collaboration.nl.deloitte.com/Users/jahuiskes/Desktop/temp/Reliance%20approach%20EU%20IT%20Testing.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G:\20_prospects\Prospecting%20list.xlsm"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s://monbat-my.sharepoint.com/FSSF01.grp.prista-oil.com/Personal/Users/viktor.spiriev/Documents/Viktor%20Old%20Files/2015/Monbat%20AD/Business%20Plans/MONBAT_Financial%20Model_2015_2019_v1.xlsx"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s://monbat.sharepoint.com/Users/viktor.spiriev/Documents/Viktor%20Old%20Files/2015/Monbat%20AD/Business%20Plans/MONBAT_Financial%20Model_2015_2019_v1.xlsx"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prista-my.sharepoint.com/Users/viktor.spiriev/Documents/Viktor%20Old%20Files/2015/Monbat%20AD/Business%20Plans/MONBAT_Financial%20Model_2015_2019_v1.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Users/viktor.spiriev/Documents/Viktor%20Old%20Files/2015/Monbat%20AD/Business%20Plans/MONBAT_Financial%20Model_2015_2019_v1.xlsx" TargetMode="External"/></Relationships>
</file>

<file path=xl/externalLinks/_rels/externalLink71.xml.rels><?xml version="1.0" encoding="UTF-8" standalone="yes"?>
<Relationships xmlns="http://schemas.openxmlformats.org/package/2006/relationships"><Relationship Id="rId1" Type="http://schemas.microsoft.com/office/2006/relationships/xlExternalLinkPath/xlPathMissing" Target="Worksheet%20in%206340%20Test%20of%20Loans%20from%20Banks%20as%20of%2031.12.2015"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monbat.sharepoint.com/Users/mdancheva/AppData/Local/Deloitte.DA4/Docs/Temp/5000015973/2290343952500000038/24402%20Loan%20Contracts%20Summary%20as%20at%2031.12.2016.xlsx"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https://monbat.sharepoint.com/Users/ivan.georgiev/Desktop/Treasury%20contracts-%20information/Stand%20alone%20Bank%20Loans%20-%20Monbat/24402%20Loan%20Contracts%20Summary%20as%20at%2031.12.2017(20.5.2018%20&#1075;.%2017.11.03).xlsx" TargetMode="External"/></Relationships>
</file>

<file path=xl/externalLinks/_rels/externalLink74.xml.rels><?xml version="1.0" encoding="UTF-8" standalone="yes"?>
<Relationships xmlns="http://schemas.openxmlformats.org/package/2006/relationships"><Relationship Id="rId1" Type="http://schemas.microsoft.com/office/2006/relationships/xlExternalLinkPath/xlPathMissing" Target="Worksheet%20in%205345%20Test%20of%20loans%20granted%20as%20of%2031.12.2015"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collaboration.nl.deloitte.com/Users/frjanssen/Desktop/Copy%20of%20Template%20Standard%20Format%20Payroll%20v04.xlsx"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collaboration.nl.deloitte.com/Users/LRIJKX/AppData/Local/Temp/Deloitte.DA3/Docs/932/1765047036800019654/5640%20Working%20paper%20Tangible%20Fixed%20Assets.xlsx"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Users/MARTIN~1.KUN/AppData/Local/Temp/7zOC453F507/Financial%20Graphs%20August.xlsx"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https://monbat-my.sharepoint.com/personal/peter_bozadjiev_monbat_com/Documents/Monbat/2021/Nour/BP/Bus_plan/Comparative_costs_raw_lead_vs_scrab.xlsx"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Users/martin.kunev/AppData/Local/Microsoft/Windows/INetCache/Content.Outlook/ZSFZWIVO/071022_Nour_Reporting_objects_universe.xlsx"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monbat.sharepoint.com/sites/MonbatGroupPortal/MBTGroupP/FinanceNew/Controlling/Projects/NourShared/Shared%20Documents/Nour%20BoD/October%202022/EF%20conso%2030.09.22%20v0.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Users/feriel%20ben%20safta/Desktop/Travaux%20de%20Monbat/Board%20dec%202022/EF%20conso%2031.12.2021%20definitive%2006.07.2022.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Users/martin.kunev/AppData/Local/Microsoft/Windows/INetCache/Content.Outlook/ZSFZWIVO/Dettes%2031122021.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https://monbat.sharepoint.com/sites/MonbatGroupPortal/MBTGroupP/FinanceNew/Controlling/Projects/NourShared/Shared%20Documents/Nour%20BoD/October%202022/EF%20conso%2030.09.22.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Users/martin.kunev/AppData/Local/Microsoft/Windows/INetCache/Content.Outlook/ZSFZWIVO/EF%20et%20BG%20groupe%20NOUR%2031.12.22.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Users/martin.kunev/AppData/Local/Microsoft/Windows/INetCache/Content.Outlook/ZSFZWIVO/20221020_%20SKU%20Codes%20NOUR%20BASE%20_V16%20sm.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ètres"/>
      <sheetName val="Bilan"/>
      <sheetName val="ERES"/>
      <sheetName val="TER"/>
      <sheetName val="CE"/>
      <sheetName val="BALANCE"/>
      <sheetName val="BALANCEAUX"/>
      <sheetName val="Ecritures"/>
      <sheetName val="EcrituresAux"/>
      <sheetName val="Ecritures DET"/>
      <sheetName val="ModBilan"/>
      <sheetName val="BALANCE PGH 2008"/>
      <sheetName val="BALANCE PGH AP CONSO 08 "/>
      <sheetName val="codes"/>
      <sheetName val="Cover"/>
      <sheetName val="Ecritures_DET"/>
      <sheetName val="CEsur5ans"/>
      <sheetName val="Ecritures_DET1"/>
      <sheetName val="Ecritures_DET8"/>
      <sheetName val="BALANCE_PGH_20085"/>
      <sheetName val="BALANCE_PGH_AP_CONSO_08_5"/>
      <sheetName val="Ecritures_DET4"/>
      <sheetName val="BALANCE_PGH_20082"/>
      <sheetName val="BALANCE_PGH_AP_CONSO_08_2"/>
      <sheetName val="Ecritures_DET2"/>
      <sheetName val="BALANCE_PGH_2008"/>
      <sheetName val="BALANCE_PGH_AP_CONSO_08_"/>
      <sheetName val="Ecritures_DET3"/>
      <sheetName val="BALANCE_PGH_20081"/>
      <sheetName val="BALANCE_PGH_AP_CONSO_08_1"/>
      <sheetName val="Ecritures_DET6"/>
      <sheetName val="BALANCE_PGH_20084"/>
      <sheetName val="BALANCE_PGH_AP_CONSO_08_4"/>
      <sheetName val="Ecritures_DET5"/>
      <sheetName val="BALANCE_PGH_20083"/>
      <sheetName val="BALANCE_PGH_AP_CONSO_08_3"/>
      <sheetName val="Ecritures_DET7"/>
      <sheetName val="Ecritures_DET9"/>
      <sheetName val="BALANCE_PGH_20086"/>
      <sheetName val="BALANCE_PGH_AP_CONSO_08_6"/>
      <sheetName val="Ecritures_DET10"/>
      <sheetName val="BALANCE_PGH_20087"/>
      <sheetName val="BALANCE_PGH_AP_CONSO_08_7"/>
      <sheetName val="Ecritures_DET12"/>
      <sheetName val="BALANCE_PGH_20089"/>
      <sheetName val="BALANCE_PGH_AP_CONSO_08_9"/>
      <sheetName val="Ecritures_DET11"/>
      <sheetName val="BALANCE_PGH_20088"/>
      <sheetName val="BALANCE_PGH_AP_CONSO_08_8"/>
      <sheetName val="6C"/>
      <sheetName val="Check BG"/>
      <sheetName val="Résultat dinde 2011"/>
      <sheetName val="Ecritures_DET17"/>
      <sheetName val="BALANCE_PGH_200814"/>
      <sheetName val="BALANCE_PGH_AP_CONSO_08_14"/>
      <sheetName val="Check_BG4"/>
      <sheetName val="Résultat_dinde_20114"/>
      <sheetName val="Ecritures_DET13"/>
      <sheetName val="BALANCE_PGH_200810"/>
      <sheetName val="BALANCE_PGH_AP_CONSO_08_10"/>
      <sheetName val="Check_BG"/>
      <sheetName val="Résultat_dinde_2011"/>
      <sheetName val="Ecritures_DET14"/>
      <sheetName val="BALANCE_PGH_200811"/>
      <sheetName val="BALANCE_PGH_AP_CONSO_08_11"/>
      <sheetName val="Check_BG1"/>
      <sheetName val="Résultat_dinde_20111"/>
      <sheetName val="Ecritures_DET15"/>
      <sheetName val="BALANCE_PGH_200812"/>
      <sheetName val="BALANCE_PGH_AP_CONSO_08_12"/>
      <sheetName val="Check_BG2"/>
      <sheetName val="Résultat_dinde_20112"/>
      <sheetName val="Ecritures_DET16"/>
      <sheetName val="BALANCE_PGH_200813"/>
      <sheetName val="BALANCE_PGH_AP_CONSO_08_13"/>
      <sheetName val="Check_BG3"/>
      <sheetName val="Résultat_dinde_20113"/>
      <sheetName val="BALANCE BFI INTERNAIONAL AU 30 "/>
      <sheetName val="BALANCE AU 30.06.01"/>
      <sheetName val="F0a"/>
      <sheetName val="Données de liste"/>
      <sheetName val="Ecritures_DET18"/>
      <sheetName val="BALANCE_PGH_200815"/>
      <sheetName val="BALANCE_PGH_AP_CONSO_08_15"/>
      <sheetName val="Ecritures_DET19"/>
      <sheetName val="BALANCE_PGH_200816"/>
      <sheetName val="BALANCE_PGH_AP_CONSO_08_16"/>
      <sheetName val="Feuil1"/>
      <sheetName val="Check_BG5"/>
      <sheetName val="Résultat_dinde_20115"/>
      <sheetName val="BALANCE_BFI_INTERNAIONAL_AU_30_"/>
      <sheetName val="BALANCE_AU_30_06_01"/>
      <sheetName val="Décompte fiscal 2017"/>
      <sheetName val="BALANCE 2016"/>
      <sheetName val="Balance des comptes"/>
      <sheetName val="balance 2017 "/>
      <sheetName val="SAD"/>
      <sheetName val="BALANCE 2017"/>
      <sheetName val="Actifs"/>
      <sheetName val="Passifs"/>
      <sheetName val="etat de résultat"/>
      <sheetName val="etat de flux "/>
      <sheetName val="NOTE EF2017"/>
      <sheetName val="Check_BG6"/>
      <sheetName val="Résultat_dinde_20116"/>
      <sheetName val="BALANCE_BFI_INTERNAIONAL_AU_301"/>
      <sheetName val="BALANCE_AU_30_06_011"/>
      <sheetName val="Ecritures_DET20"/>
      <sheetName val="BALANCE_PGH_200817"/>
      <sheetName val="BALANCE_PGH_AP_CONSO_08_17"/>
      <sheetName val="Check_BG7"/>
      <sheetName val="Résultat_dinde_20117"/>
      <sheetName val="BALANCE_BFI_INTERNAIONAL_AU_302"/>
      <sheetName val="BALANCE_AU_30_06_012"/>
      <sheetName val="Données_de_liste"/>
      <sheetName val="BASE_FOURNISSEURS"/>
      <sheetName val="15-_BS,IS_Level"/>
      <sheetName val="FO_0207"/>
      <sheetName val="BFR"/>
      <sheetName val="Ecritures_DET21"/>
      <sheetName val="BALANCE_PGH_200818"/>
      <sheetName val="BALANCE_PGH_AP_CONSO_08_18"/>
      <sheetName val="Check_BG8"/>
      <sheetName val="Résultat_dinde_20118"/>
      <sheetName val="BALANCE_BFI_INTERNAIONAL_AU_303"/>
      <sheetName val="BALANCE_AU_30_06_013"/>
      <sheetName val="Données_de_liste1"/>
      <sheetName val="Décompte_fiscal_2017"/>
      <sheetName val="BALANCE_2016"/>
      <sheetName val="Balance_des_comptes"/>
      <sheetName val="balance_2017_"/>
      <sheetName val="BALANCE_2017"/>
      <sheetName val="etat_de_résultat"/>
      <sheetName val="etat_de_flux_"/>
      <sheetName val="NOTE_EF2017"/>
      <sheetName val="Ecritures_DET22"/>
      <sheetName val="BALANCE_PGH_200819"/>
      <sheetName val="BALANCE_PGH_AP_CONSO_08_19"/>
      <sheetName val="Check_BG9"/>
      <sheetName val="Résultat_dinde_20119"/>
      <sheetName val="BALANCE_BFI_INTERNAIONAL_AU_304"/>
      <sheetName val="BALANCE_AU_30_06_014"/>
      <sheetName val="Données_de_liste2"/>
      <sheetName val="Décompte_fiscal_20171"/>
      <sheetName val="BALANCE_20161"/>
      <sheetName val="Balance_des_comptes1"/>
      <sheetName val="balance_2017_1"/>
      <sheetName val="BALANCE_20171"/>
      <sheetName val="etat_de_résultat1"/>
      <sheetName val="etat_de_flux_1"/>
      <sheetName val="NOTE_EF20171"/>
      <sheetName val="Ecritures_DET23"/>
      <sheetName val="BALANCE_PGH_200820"/>
      <sheetName val="BALANCE_PGH_AP_CONSO_08_20"/>
      <sheetName val="Check_BG10"/>
      <sheetName val="Résultat_dinde_201110"/>
      <sheetName val="BALANCE_BFI_INTERNAIONAL_AU_305"/>
      <sheetName val="BALANCE_AU_30_06_015"/>
      <sheetName val="Décompte_fiscal_20172"/>
      <sheetName val="BALANCE_20162"/>
      <sheetName val="Balance_des_comptes2"/>
      <sheetName val="balance_2017_2"/>
      <sheetName val="BALANCE_20172"/>
      <sheetName val="etat_de_résultat2"/>
      <sheetName val="etat_de_flux_2"/>
      <sheetName val="NOTE_EF20172"/>
      <sheetName val="Ecritures_DET24"/>
      <sheetName val="BALANCE_PGH_200821"/>
      <sheetName val="BALANCE_PGH_AP_CONSO_08_21"/>
      <sheetName val="Check_BG11"/>
      <sheetName val="Résultat_dinde_201111"/>
      <sheetName val="BALANCE_BFI_INTERNAIONAL_AU_306"/>
      <sheetName val="BALANCE_AU_30_06_016"/>
      <sheetName val="Données_de_liste3"/>
      <sheetName val="Décompte_fiscal_20173"/>
      <sheetName val="BALANCE_20163"/>
      <sheetName val="Balance_des_comptes3"/>
      <sheetName val="balance_2017_3"/>
      <sheetName val="BALANCE_20173"/>
      <sheetName val="etat_de_résultat3"/>
      <sheetName val="etat_de_flux_3"/>
      <sheetName val="NOTE_EF20173"/>
      <sheetName val="Ecritures_DET25"/>
      <sheetName val="BALANCE_PGH_200822"/>
      <sheetName val="BALANCE_PGH_AP_CONSO_08_22"/>
      <sheetName val="Check_BG12"/>
      <sheetName val="Résultat_dinde_201112"/>
      <sheetName val="BALANCE_BFI_INTERNAIONAL_AU_307"/>
      <sheetName val="BALANCE_AU_30_06_017"/>
      <sheetName val="Données_de_liste4"/>
      <sheetName val="Décompte_fiscal_20174"/>
      <sheetName val="BALANCE_20164"/>
      <sheetName val="Balance_des_comptes4"/>
      <sheetName val="balance_2017_4"/>
      <sheetName val="BALANCE_20174"/>
      <sheetName val="etat_de_résultat4"/>
      <sheetName val="etat_de_flux_4"/>
      <sheetName val="NOTE_EF20174"/>
    </sheetNames>
    <sheetDataSet>
      <sheetData sheetId="0" refreshError="1">
        <row r="1">
          <cell r="A1" t="str">
            <v>J_65</v>
          </cell>
        </row>
        <row r="6">
          <cell r="B6">
            <v>36525</v>
          </cell>
        </row>
      </sheetData>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refreshError="1"/>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refreshError="1"/>
      <sheetData sheetId="78" refreshError="1"/>
      <sheetData sheetId="79" refreshError="1"/>
      <sheetData sheetId="80" refreshError="1"/>
      <sheetData sheetId="81"/>
      <sheetData sheetId="82"/>
      <sheetData sheetId="83"/>
      <sheetData sheetId="84"/>
      <sheetData sheetId="85"/>
      <sheetData sheetId="86"/>
      <sheetData sheetId="87" refreshError="1"/>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refreshError="1"/>
      <sheetData sheetId="115" refreshError="1"/>
      <sheetData sheetId="116" refreshError="1"/>
      <sheetData sheetId="117" refreshError="1"/>
      <sheetData sheetId="118" refreshError="1"/>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00000"/>
      <sheetName val="SATIŞ"/>
      <sheetName val="ÜRETİM "/>
      <sheetName val="GİDER"/>
      <sheetName val="HAMMADDE"/>
      <sheetName val="YRD .MADDE"/>
      <sheetName val="AMBALAJ"/>
      <sheetName val="Y.ELEKTRİK"/>
      <sheetName val="FİNANS GİD."/>
      <sheetName val="SATIŞ GİD."/>
      <sheetName val="SATGİDDET"/>
      <sheetName val="STOK"/>
      <sheetName val="STOK MTL"/>
      <sheetName val="urun hareket"/>
      <sheetName val="renkliurhar"/>
      <sheetName val="giriş-çıkış"/>
      <sheetName val="K&amp;Z"/>
      <sheetName val="KZ SATIŞ GİD."/>
      <sheetName val="SAT.İSKONT."/>
      <sheetName val="CF"/>
      <sheetName val="GELİR-GİDER"/>
      <sheetName val="GENEL DURUM"/>
      <sheetName val="ÜRETİM_"/>
      <sheetName val="YRD__MADDE"/>
      <sheetName val="Y_ELEKTRİK"/>
      <sheetName val="FİNANS_GİD_"/>
      <sheetName val="SATIŞ_GİD_"/>
      <sheetName val="STOK_MTL"/>
      <sheetName val="urun_hareket"/>
      <sheetName val="KZ_SATIŞ_GİD_"/>
      <sheetName val="SAT_İSKONT_"/>
      <sheetName val="GENEL_DURUM"/>
      <sheetName val="ÜRETİM_1"/>
      <sheetName val="YRD__MADDE1"/>
      <sheetName val="Y_ELEKTRİK1"/>
      <sheetName val="FİNANS_GİD_1"/>
      <sheetName val="SATIŞ_GİD_1"/>
      <sheetName val="STOK_MTL1"/>
      <sheetName val="urun_hareket1"/>
      <sheetName val="KZ_SATIŞ_GİD_1"/>
      <sheetName val="SAT_İSKONT_1"/>
      <sheetName val="GENEL_DURUM1"/>
      <sheetName val="ÜRETİM_2"/>
      <sheetName val="YRD__MADDE2"/>
      <sheetName val="Y_ELEKTRİK2"/>
      <sheetName val="FİNANS_GİD_2"/>
      <sheetName val="SATIŞ_GİD_2"/>
      <sheetName val="STOK_MTL2"/>
      <sheetName val="urun_hareket2"/>
      <sheetName val="KZ_SATIŞ_GİD_2"/>
      <sheetName val="SAT_İSKONT_2"/>
      <sheetName val="GENEL_DURUM2"/>
      <sheetName val="Sheet1"/>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K&amp;Z"/>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K40 231 Reconciliation"/>
      <sheetName val="K30 FA register2002"/>
      <sheetName val="K20 Add 2003"/>
      <sheetName val="K10 FA register 30 jun 2003"/>
    </sheetNames>
    <sheetDataSet>
      <sheetData sheetId="0" refreshError="1"/>
      <sheetData sheetId="1" refreshError="1"/>
      <sheetData sheetId="2" refreshError="1"/>
      <sheetData sheetId="3"/>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ATIŞ"/>
      <sheetName val="K&amp;Z"/>
    </sheetNames>
    <sheetDataSet>
      <sheetData sheetId="0" refreshError="1"/>
      <sheetData sheetId="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00000"/>
      <sheetName val="SATIŞ"/>
      <sheetName val="ÜRETİM "/>
      <sheetName val="GİDER"/>
      <sheetName val="HAMMADDE"/>
      <sheetName val="YRD .MADDE"/>
      <sheetName val="AMBALAJ"/>
      <sheetName val="Y.ELEKTRİK"/>
      <sheetName val="FİNANS GİD."/>
      <sheetName val="SATIŞ GİD."/>
      <sheetName val="SATGİDDET"/>
      <sheetName val="STOK"/>
      <sheetName val="STOK MTL"/>
      <sheetName val="urun hareket"/>
      <sheetName val="renkliurhar"/>
      <sheetName val="giriş-çıkış"/>
      <sheetName val="K&amp;Z"/>
      <sheetName val="KZ SATIŞ GİD."/>
      <sheetName val="SAT.İSKONT."/>
      <sheetName val="CF"/>
      <sheetName val="GELİR-GİDER"/>
      <sheetName val="GENEL DURUM"/>
      <sheetName val="ÜRETİM_"/>
      <sheetName val="YRD__MADDE"/>
      <sheetName val="Y_ELEKTRİK"/>
      <sheetName val="FİNANS_GİD_"/>
      <sheetName val="SATIŞ_GİD_"/>
      <sheetName val="STOK_MTL"/>
      <sheetName val="urun_hareket"/>
      <sheetName val="KZ_SATIŞ_GİD_"/>
      <sheetName val="SAT_İSKONT_"/>
      <sheetName val="GENEL_DURUM"/>
      <sheetName val="ÜRETİM_1"/>
      <sheetName val="YRD__MADDE1"/>
      <sheetName val="Y_ELEKTRİK1"/>
      <sheetName val="FİNANS_GİD_1"/>
      <sheetName val="SATIŞ_GİD_1"/>
      <sheetName val="STOK_MTL1"/>
      <sheetName val="urun_hareket1"/>
      <sheetName val="KZ_SATIŞ_GİD_1"/>
      <sheetName val="SAT_İSKONT_1"/>
      <sheetName val="GENEL_DURUM1"/>
      <sheetName val="ÜRETİM_2"/>
      <sheetName val="YRD__MADDE2"/>
      <sheetName val="Y_ELEKTRİK2"/>
      <sheetName val="FİNANS_GİD_2"/>
      <sheetName val="SATIŞ_GİD_2"/>
      <sheetName val="STOK_MTL2"/>
      <sheetName val="urun_hareket2"/>
      <sheetName val="KZ_SATIŞ_GİD_2"/>
      <sheetName val="SAT_İSKONT_2"/>
      <sheetName val="GENEL_DURUM2"/>
    </sheetNames>
    <sheetDataSet>
      <sheetData sheetId="0"/>
      <sheetData sheetId="1" refreshError="1">
        <row r="3">
          <cell r="B3" t="str">
            <v>REVİZE</v>
          </cell>
          <cell r="E3" t="str">
            <v>2002  YILI  TOPLULUK İÇİ (CK+Cİ ) SATIS PROGRAMI</v>
          </cell>
        </row>
        <row r="4">
          <cell r="P4">
            <v>2001</v>
          </cell>
          <cell r="Q4" t="str">
            <v>BİRİKİMLİ</v>
          </cell>
        </row>
        <row r="5">
          <cell r="B5" t="str">
            <v xml:space="preserve">  (000M2)</v>
          </cell>
          <cell r="C5" t="str">
            <v>OCAK</v>
          </cell>
          <cell r="D5" t="str">
            <v>SUBAT</v>
          </cell>
          <cell r="E5" t="str">
            <v>MART</v>
          </cell>
          <cell r="F5" t="str">
            <v>NISAN</v>
          </cell>
          <cell r="G5" t="str">
            <v>MAYIS</v>
          </cell>
          <cell r="H5" t="str">
            <v>HAZIRAN</v>
          </cell>
          <cell r="I5" t="str">
            <v>TEMMUZ</v>
          </cell>
          <cell r="J5" t="str">
            <v>AGUSTOS</v>
          </cell>
          <cell r="K5" t="str">
            <v>EYLUL</v>
          </cell>
          <cell r="L5" t="str">
            <v>EKIM</v>
          </cell>
          <cell r="M5" t="str">
            <v>KASIM</v>
          </cell>
          <cell r="N5" t="str">
            <v>ARALIK</v>
          </cell>
          <cell r="O5" t="str">
            <v>TOPLAM</v>
          </cell>
          <cell r="P5" t="str">
            <v>BEKLENEN</v>
          </cell>
        </row>
        <row r="6">
          <cell r="B6" t="str">
            <v xml:space="preserve"> 3 MM</v>
          </cell>
          <cell r="C6">
            <v>16.414000000000001</v>
          </cell>
          <cell r="D6">
            <v>15.034000000000001</v>
          </cell>
          <cell r="E6">
            <v>19.448</v>
          </cell>
          <cell r="F6">
            <v>18.759</v>
          </cell>
          <cell r="G6">
            <v>18.483000000000001</v>
          </cell>
          <cell r="H6">
            <v>20.276</v>
          </cell>
          <cell r="I6">
            <v>16</v>
          </cell>
          <cell r="J6">
            <v>18.759</v>
          </cell>
          <cell r="K6">
            <v>18.207000000000001</v>
          </cell>
          <cell r="L6">
            <v>17.792999999999999</v>
          </cell>
          <cell r="M6">
            <v>19.172000000000001</v>
          </cell>
          <cell r="N6">
            <v>16.827000000000002</v>
          </cell>
          <cell r="O6">
            <v>215.172</v>
          </cell>
          <cell r="Q6">
            <v>215.172</v>
          </cell>
        </row>
        <row r="7">
          <cell r="B7" t="str">
            <v xml:space="preserve"> 4 MM</v>
          </cell>
          <cell r="C7">
            <v>51.558999999999997</v>
          </cell>
          <cell r="D7">
            <v>47.505000000000003</v>
          </cell>
          <cell r="E7">
            <v>69.334999999999994</v>
          </cell>
          <cell r="F7">
            <v>81.704999999999998</v>
          </cell>
          <cell r="G7">
            <v>74.22</v>
          </cell>
          <cell r="H7">
            <v>70.894000000000005</v>
          </cell>
          <cell r="I7">
            <v>78.897999999999996</v>
          </cell>
          <cell r="J7">
            <v>79.834000000000003</v>
          </cell>
          <cell r="K7">
            <v>85.343000000000004</v>
          </cell>
          <cell r="L7">
            <v>83.055999999999997</v>
          </cell>
          <cell r="M7">
            <v>78.793999999999997</v>
          </cell>
          <cell r="N7">
            <v>75.884</v>
          </cell>
          <cell r="O7">
            <v>877.02700000000004</v>
          </cell>
          <cell r="Q7">
            <v>877.02700000000004</v>
          </cell>
        </row>
        <row r="8">
          <cell r="B8" t="str">
            <v xml:space="preserve"> 5 MM</v>
          </cell>
          <cell r="C8">
            <v>9.1359999999999992</v>
          </cell>
          <cell r="D8">
            <v>11.276</v>
          </cell>
          <cell r="E8">
            <v>15.967000000000001</v>
          </cell>
          <cell r="F8">
            <v>15.638</v>
          </cell>
          <cell r="G8">
            <v>17.613</v>
          </cell>
          <cell r="H8">
            <v>10.041</v>
          </cell>
          <cell r="I8">
            <v>8.8070000000000004</v>
          </cell>
          <cell r="J8">
            <v>17.283999999999999</v>
          </cell>
          <cell r="K8">
            <v>15.391</v>
          </cell>
          <cell r="L8">
            <v>15.391</v>
          </cell>
          <cell r="M8">
            <v>15.638</v>
          </cell>
          <cell r="N8">
            <v>14.814</v>
          </cell>
          <cell r="O8">
            <v>166.99600000000001</v>
          </cell>
          <cell r="Q8">
            <v>166.99600000000001</v>
          </cell>
        </row>
        <row r="9">
          <cell r="B9" t="str">
            <v xml:space="preserve"> 6 MM</v>
          </cell>
          <cell r="C9">
            <v>7.3040000000000003</v>
          </cell>
          <cell r="D9">
            <v>8.0549999999999997</v>
          </cell>
          <cell r="E9">
            <v>10.648</v>
          </cell>
          <cell r="F9">
            <v>14.471</v>
          </cell>
          <cell r="G9">
            <v>14.13</v>
          </cell>
          <cell r="H9">
            <v>11.331</v>
          </cell>
          <cell r="I9">
            <v>10.102</v>
          </cell>
          <cell r="J9">
            <v>12.218</v>
          </cell>
          <cell r="K9">
            <v>14.061</v>
          </cell>
          <cell r="L9">
            <v>12.833</v>
          </cell>
          <cell r="M9">
            <v>12.287000000000001</v>
          </cell>
          <cell r="N9">
            <v>9.7609999999999992</v>
          </cell>
          <cell r="O9">
            <v>137.20099999999999</v>
          </cell>
          <cell r="Q9">
            <v>137.20099999999999</v>
          </cell>
        </row>
        <row r="10">
          <cell r="B10" t="str">
            <v xml:space="preserve"> 8 MM</v>
          </cell>
          <cell r="C10">
            <v>5</v>
          </cell>
          <cell r="D10">
            <v>5.5609999999999999</v>
          </cell>
          <cell r="E10">
            <v>6.4290000000000003</v>
          </cell>
          <cell r="F10">
            <v>7.194</v>
          </cell>
          <cell r="G10">
            <v>8.2650000000000006</v>
          </cell>
          <cell r="H10">
            <v>5</v>
          </cell>
          <cell r="I10">
            <v>3.7759999999999998</v>
          </cell>
          <cell r="J10">
            <v>5.51</v>
          </cell>
          <cell r="K10">
            <v>5.7140000000000004</v>
          </cell>
          <cell r="L10">
            <v>6.4290000000000003</v>
          </cell>
          <cell r="M10">
            <v>6.4290000000000003</v>
          </cell>
          <cell r="N10">
            <v>6.9379999999999997</v>
          </cell>
          <cell r="O10">
            <v>72.24499999999999</v>
          </cell>
          <cell r="Q10">
            <v>72.24499999999999</v>
          </cell>
        </row>
        <row r="11">
          <cell r="B11" t="str">
            <v>10 MM</v>
          </cell>
          <cell r="C11">
            <v>2.073</v>
          </cell>
          <cell r="D11">
            <v>1.3819999999999999</v>
          </cell>
          <cell r="E11">
            <v>0.69099999999999995</v>
          </cell>
          <cell r="F11">
            <v>2.5609999999999999</v>
          </cell>
          <cell r="G11">
            <v>2.75</v>
          </cell>
          <cell r="H11">
            <v>1.8149999999999999</v>
          </cell>
          <cell r="I11">
            <v>0.85399999999999998</v>
          </cell>
          <cell r="J11">
            <v>1.341</v>
          </cell>
          <cell r="K11">
            <v>1.87</v>
          </cell>
          <cell r="L11">
            <v>2.262</v>
          </cell>
          <cell r="M11">
            <v>1.9370000000000001</v>
          </cell>
          <cell r="N11">
            <v>1.409</v>
          </cell>
          <cell r="O11">
            <v>20.945</v>
          </cell>
          <cell r="Q11">
            <v>20.945</v>
          </cell>
        </row>
        <row r="12">
          <cell r="B12" t="str">
            <v>KAPLAMALI CAMLAR</v>
          </cell>
          <cell r="C12">
            <v>30.292999999999999</v>
          </cell>
          <cell r="D12">
            <v>10.638999999999999</v>
          </cell>
          <cell r="E12">
            <v>18.268000000000001</v>
          </cell>
          <cell r="F12">
            <v>25.640999999999998</v>
          </cell>
          <cell r="G12">
            <v>29.155999999999999</v>
          </cell>
          <cell r="H12">
            <v>30.298999999999999</v>
          </cell>
          <cell r="I12">
            <v>29.884999999999998</v>
          </cell>
          <cell r="J12">
            <v>37.620000000000005</v>
          </cell>
          <cell r="K12">
            <v>40.453000000000003</v>
          </cell>
          <cell r="L12">
            <v>35.622999999999998</v>
          </cell>
          <cell r="M12">
            <v>29.971999999999998</v>
          </cell>
          <cell r="N12">
            <v>23.476000000000003</v>
          </cell>
          <cell r="O12">
            <v>341.32499999999999</v>
          </cell>
          <cell r="Q12">
            <v>341.32499999999999</v>
          </cell>
        </row>
        <row r="13">
          <cell r="B13" t="str">
            <v>TOPL.RENKSIZ</v>
          </cell>
          <cell r="C13">
            <v>121.779</v>
          </cell>
          <cell r="D13">
            <v>99.452000000000012</v>
          </cell>
          <cell r="E13">
            <v>140.786</v>
          </cell>
          <cell r="F13">
            <v>165.96899999999999</v>
          </cell>
          <cell r="G13">
            <v>164.61700000000002</v>
          </cell>
          <cell r="H13">
            <v>149.65600000000001</v>
          </cell>
          <cell r="I13">
            <v>148.322</v>
          </cell>
          <cell r="J13">
            <v>172.566</v>
          </cell>
          <cell r="K13">
            <v>181.03900000000002</v>
          </cell>
          <cell r="L13">
            <v>173.387</v>
          </cell>
          <cell r="M13">
            <v>164.22900000000001</v>
          </cell>
          <cell r="N13">
            <v>149.10900000000001</v>
          </cell>
          <cell r="O13">
            <v>1830.9110000000001</v>
          </cell>
          <cell r="P13">
            <v>1322</v>
          </cell>
          <cell r="Q13">
            <v>1830.9109999999998</v>
          </cell>
        </row>
        <row r="14">
          <cell r="B14" t="str">
            <v>RENKLİ</v>
          </cell>
          <cell r="P14">
            <v>14</v>
          </cell>
          <cell r="Q14">
            <v>0</v>
          </cell>
        </row>
        <row r="15">
          <cell r="B15" t="str">
            <v>AYNA</v>
          </cell>
          <cell r="C15">
            <v>4</v>
          </cell>
          <cell r="D15">
            <v>4</v>
          </cell>
          <cell r="E15">
            <v>4</v>
          </cell>
          <cell r="F15">
            <v>4</v>
          </cell>
          <cell r="G15">
            <v>4</v>
          </cell>
          <cell r="H15">
            <v>4</v>
          </cell>
          <cell r="I15">
            <v>4</v>
          </cell>
          <cell r="J15">
            <v>4</v>
          </cell>
          <cell r="K15">
            <v>4</v>
          </cell>
          <cell r="L15">
            <v>4</v>
          </cell>
          <cell r="M15">
            <v>4</v>
          </cell>
          <cell r="N15">
            <v>4</v>
          </cell>
          <cell r="O15">
            <v>48</v>
          </cell>
          <cell r="P15">
            <v>51</v>
          </cell>
          <cell r="Q15">
            <v>48</v>
          </cell>
        </row>
        <row r="16">
          <cell r="B16" t="str">
            <v>LAMİNE</v>
          </cell>
          <cell r="C16">
            <v>0.25</v>
          </cell>
          <cell r="D16">
            <v>0.25</v>
          </cell>
          <cell r="E16">
            <v>1.5</v>
          </cell>
          <cell r="F16">
            <v>1.5</v>
          </cell>
          <cell r="G16">
            <v>1.7</v>
          </cell>
          <cell r="H16">
            <v>1.7</v>
          </cell>
          <cell r="I16">
            <v>1.3</v>
          </cell>
          <cell r="J16">
            <v>1.3</v>
          </cell>
          <cell r="K16">
            <v>1.45</v>
          </cell>
          <cell r="L16">
            <v>1.5</v>
          </cell>
          <cell r="M16">
            <v>1.5</v>
          </cell>
          <cell r="N16">
            <v>1.8</v>
          </cell>
          <cell r="O16">
            <v>15.750000000000002</v>
          </cell>
          <cell r="P16">
            <v>11</v>
          </cell>
          <cell r="Q16">
            <v>15.750000000000002</v>
          </cell>
        </row>
        <row r="17">
          <cell r="B17" t="str">
            <v>GENEL TOPLAM</v>
          </cell>
          <cell r="C17">
            <v>126.029</v>
          </cell>
          <cell r="D17">
            <v>103.70200000000001</v>
          </cell>
          <cell r="E17">
            <v>146.286</v>
          </cell>
          <cell r="F17">
            <v>171.46899999999999</v>
          </cell>
          <cell r="G17">
            <v>170.31700000000001</v>
          </cell>
          <cell r="H17">
            <v>155.35599999999999</v>
          </cell>
          <cell r="I17">
            <v>153.62200000000001</v>
          </cell>
          <cell r="J17">
            <v>177.86600000000001</v>
          </cell>
          <cell r="K17">
            <v>186.489</v>
          </cell>
          <cell r="L17">
            <v>178.887</v>
          </cell>
          <cell r="M17">
            <v>169.72900000000001</v>
          </cell>
          <cell r="N17">
            <v>154.90900000000002</v>
          </cell>
          <cell r="O17">
            <v>1894.6610000000001</v>
          </cell>
          <cell r="P17">
            <v>1398</v>
          </cell>
          <cell r="Q17">
            <v>1894.6610000000001</v>
          </cell>
        </row>
        <row r="18">
          <cell r="Q18">
            <v>0</v>
          </cell>
        </row>
        <row r="19">
          <cell r="Q19">
            <v>0</v>
          </cell>
        </row>
        <row r="20">
          <cell r="B20" t="str">
            <v xml:space="preserve"> (TON)</v>
          </cell>
          <cell r="C20" t="str">
            <v>OCAK</v>
          </cell>
          <cell r="D20" t="str">
            <v>SUBAT</v>
          </cell>
          <cell r="E20" t="str">
            <v>MART</v>
          </cell>
          <cell r="F20" t="str">
            <v>NISAN</v>
          </cell>
          <cell r="G20" t="str">
            <v>MAYIS</v>
          </cell>
          <cell r="H20" t="str">
            <v>HAZIRAN</v>
          </cell>
          <cell r="I20" t="str">
            <v>TEMMUZ</v>
          </cell>
          <cell r="J20" t="str">
            <v>AGUSTOS</v>
          </cell>
          <cell r="K20" t="str">
            <v>EYLUL</v>
          </cell>
          <cell r="L20" t="str">
            <v>EKIM</v>
          </cell>
          <cell r="M20" t="str">
            <v>KASIM</v>
          </cell>
          <cell r="N20" t="str">
            <v>ARALIK</v>
          </cell>
          <cell r="O20" t="str">
            <v>TOPLAM</v>
          </cell>
        </row>
        <row r="21">
          <cell r="B21" t="str">
            <v xml:space="preserve"> 3 MM</v>
          </cell>
          <cell r="C21">
            <v>119</v>
          </cell>
          <cell r="D21">
            <v>109</v>
          </cell>
          <cell r="E21">
            <v>141</v>
          </cell>
          <cell r="F21">
            <v>136</v>
          </cell>
          <cell r="G21">
            <v>134</v>
          </cell>
          <cell r="H21">
            <v>147</v>
          </cell>
          <cell r="I21">
            <v>116</v>
          </cell>
          <cell r="J21">
            <v>136</v>
          </cell>
          <cell r="K21">
            <v>132</v>
          </cell>
          <cell r="L21">
            <v>129</v>
          </cell>
          <cell r="M21">
            <v>139</v>
          </cell>
          <cell r="N21">
            <v>122</v>
          </cell>
          <cell r="O21">
            <v>1560</v>
          </cell>
          <cell r="Q21">
            <v>1560</v>
          </cell>
        </row>
        <row r="22">
          <cell r="B22" t="str">
            <v xml:space="preserve"> 4 MM</v>
          </cell>
          <cell r="C22">
            <v>496</v>
          </cell>
          <cell r="D22">
            <v>457</v>
          </cell>
          <cell r="E22">
            <v>667</v>
          </cell>
          <cell r="F22">
            <v>786</v>
          </cell>
          <cell r="G22">
            <v>714</v>
          </cell>
          <cell r="H22">
            <v>682</v>
          </cell>
          <cell r="I22">
            <v>759</v>
          </cell>
          <cell r="J22">
            <v>768</v>
          </cell>
          <cell r="K22">
            <v>821</v>
          </cell>
          <cell r="L22">
            <v>799</v>
          </cell>
          <cell r="M22">
            <v>758</v>
          </cell>
          <cell r="N22">
            <v>730</v>
          </cell>
          <cell r="O22">
            <v>8437</v>
          </cell>
          <cell r="Q22">
            <v>8437</v>
          </cell>
        </row>
        <row r="23">
          <cell r="B23" t="str">
            <v xml:space="preserve"> 5 MM</v>
          </cell>
          <cell r="C23">
            <v>111</v>
          </cell>
          <cell r="D23">
            <v>137</v>
          </cell>
          <cell r="E23">
            <v>194</v>
          </cell>
          <cell r="F23">
            <v>190</v>
          </cell>
          <cell r="G23">
            <v>214</v>
          </cell>
          <cell r="H23">
            <v>122</v>
          </cell>
          <cell r="I23">
            <v>107</v>
          </cell>
          <cell r="J23">
            <v>210</v>
          </cell>
          <cell r="K23">
            <v>187</v>
          </cell>
          <cell r="L23">
            <v>187</v>
          </cell>
          <cell r="M23">
            <v>190</v>
          </cell>
          <cell r="N23">
            <v>180</v>
          </cell>
          <cell r="O23">
            <v>2029</v>
          </cell>
          <cell r="Q23">
            <v>2029</v>
          </cell>
        </row>
        <row r="27">
          <cell r="B27" t="str">
            <v>KAPLAMALI CAMLAR</v>
          </cell>
          <cell r="C27">
            <v>401</v>
          </cell>
          <cell r="D27">
            <v>117</v>
          </cell>
          <cell r="E27">
            <v>206</v>
          </cell>
          <cell r="F27">
            <v>298</v>
          </cell>
          <cell r="G27">
            <v>325</v>
          </cell>
          <cell r="H27">
            <v>330</v>
          </cell>
          <cell r="I27">
            <v>371</v>
          </cell>
          <cell r="J27">
            <v>412</v>
          </cell>
          <cell r="K27">
            <v>445</v>
          </cell>
          <cell r="L27">
            <v>400</v>
          </cell>
          <cell r="M27">
            <v>321</v>
          </cell>
          <cell r="N27">
            <v>256</v>
          </cell>
          <cell r="O27">
            <v>3882</v>
          </cell>
          <cell r="Q27">
            <v>3882</v>
          </cell>
        </row>
        <row r="28">
          <cell r="B28" t="str">
            <v>TOPL.RENKSIZ</v>
          </cell>
          <cell r="C28">
            <v>1383</v>
          </cell>
          <cell r="D28">
            <v>1081</v>
          </cell>
          <cell r="E28">
            <v>1507</v>
          </cell>
          <cell r="F28">
            <v>1826</v>
          </cell>
          <cell r="G28">
            <v>1824</v>
          </cell>
          <cell r="H28">
            <v>1590</v>
          </cell>
          <cell r="I28">
            <v>1596</v>
          </cell>
          <cell r="J28">
            <v>1846</v>
          </cell>
          <cell r="K28">
            <v>1949</v>
          </cell>
          <cell r="L28">
            <v>1885</v>
          </cell>
          <cell r="M28">
            <v>1762</v>
          </cell>
          <cell r="N28">
            <v>1602</v>
          </cell>
          <cell r="O28">
            <v>19851</v>
          </cell>
          <cell r="P28">
            <v>14239</v>
          </cell>
          <cell r="Q28">
            <v>19851</v>
          </cell>
        </row>
        <row r="29">
          <cell r="B29" t="str">
            <v>RENKLİ</v>
          </cell>
          <cell r="P29">
            <v>187</v>
          </cell>
          <cell r="Q29">
            <v>0</v>
          </cell>
        </row>
        <row r="30">
          <cell r="B30" t="str">
            <v>AYNA</v>
          </cell>
          <cell r="C30">
            <v>33.97</v>
          </cell>
          <cell r="D30">
            <v>33.97</v>
          </cell>
          <cell r="E30">
            <v>33.97</v>
          </cell>
          <cell r="F30">
            <v>33.97</v>
          </cell>
          <cell r="G30">
            <v>33.97</v>
          </cell>
          <cell r="H30">
            <v>33.97</v>
          </cell>
          <cell r="I30">
            <v>33.97</v>
          </cell>
          <cell r="J30">
            <v>33.97</v>
          </cell>
          <cell r="K30">
            <v>33.97</v>
          </cell>
          <cell r="L30">
            <v>33.97</v>
          </cell>
          <cell r="M30">
            <v>33.97</v>
          </cell>
          <cell r="N30">
            <v>33.97</v>
          </cell>
          <cell r="O30">
            <v>407.6400000000001</v>
          </cell>
          <cell r="P30">
            <v>434</v>
          </cell>
          <cell r="Q30">
            <v>407.6400000000001</v>
          </cell>
        </row>
        <row r="31">
          <cell r="B31" t="str">
            <v>LAMİNE</v>
          </cell>
          <cell r="C31">
            <v>6</v>
          </cell>
          <cell r="D31">
            <v>6</v>
          </cell>
          <cell r="E31">
            <v>37</v>
          </cell>
          <cell r="F31">
            <v>37</v>
          </cell>
          <cell r="G31">
            <v>42</v>
          </cell>
          <cell r="H31">
            <v>42</v>
          </cell>
          <cell r="I31">
            <v>32</v>
          </cell>
          <cell r="J31">
            <v>32</v>
          </cell>
          <cell r="K31">
            <v>36</v>
          </cell>
          <cell r="L31">
            <v>37</v>
          </cell>
          <cell r="M31">
            <v>37</v>
          </cell>
          <cell r="N31">
            <v>45</v>
          </cell>
          <cell r="O31">
            <v>389</v>
          </cell>
          <cell r="P31">
            <v>226</v>
          </cell>
          <cell r="Q31">
            <v>389</v>
          </cell>
        </row>
        <row r="32">
          <cell r="B32" t="str">
            <v>GENEL TOPLAM</v>
          </cell>
          <cell r="C32">
            <v>1422.97</v>
          </cell>
          <cell r="D32">
            <v>1120.97</v>
          </cell>
          <cell r="E32">
            <v>1577.97</v>
          </cell>
          <cell r="F32">
            <v>1896.97</v>
          </cell>
          <cell r="G32">
            <v>1899.97</v>
          </cell>
          <cell r="H32">
            <v>1665.97</v>
          </cell>
          <cell r="I32">
            <v>1661.97</v>
          </cell>
          <cell r="J32">
            <v>1911.97</v>
          </cell>
          <cell r="K32">
            <v>2018.97</v>
          </cell>
          <cell r="L32">
            <v>1955.97</v>
          </cell>
          <cell r="M32">
            <v>1832.97</v>
          </cell>
          <cell r="N32">
            <v>1680.97</v>
          </cell>
          <cell r="O32">
            <v>20647.64</v>
          </cell>
          <cell r="P32">
            <v>15086</v>
          </cell>
          <cell r="Q32">
            <v>20647.64</v>
          </cell>
        </row>
        <row r="33">
          <cell r="Q33">
            <v>0</v>
          </cell>
        </row>
        <row r="34">
          <cell r="B34" t="str">
            <v xml:space="preserve"> (MTL)</v>
          </cell>
          <cell r="C34" t="str">
            <v>OCAK</v>
          </cell>
          <cell r="D34" t="str">
            <v>SUBAT</v>
          </cell>
          <cell r="E34" t="str">
            <v>MART</v>
          </cell>
          <cell r="F34" t="str">
            <v>NISAN</v>
          </cell>
          <cell r="G34" t="str">
            <v>MAYIS</v>
          </cell>
          <cell r="H34" t="str">
            <v>HAZIRAN</v>
          </cell>
          <cell r="I34" t="str">
            <v>TEMMUZ</v>
          </cell>
          <cell r="J34" t="str">
            <v>AGUSTOS</v>
          </cell>
          <cell r="K34" t="str">
            <v>EYLUL</v>
          </cell>
          <cell r="L34" t="str">
            <v>EKIM</v>
          </cell>
          <cell r="M34" t="str">
            <v>KASIM</v>
          </cell>
          <cell r="N34" t="str">
            <v>ARALIK</v>
          </cell>
          <cell r="O34" t="str">
            <v>TOPLAM</v>
          </cell>
        </row>
        <row r="35">
          <cell r="B35" t="str">
            <v xml:space="preserve"> 3 MM</v>
          </cell>
          <cell r="C35">
            <v>39696.808599840006</v>
          </cell>
          <cell r="D35">
            <v>35359.968000000001</v>
          </cell>
          <cell r="E35">
            <v>47375.328000000001</v>
          </cell>
          <cell r="F35">
            <v>48215.549360159996</v>
          </cell>
          <cell r="G35">
            <v>49818.029844239994</v>
          </cell>
          <cell r="H35">
            <v>56879.192227199994</v>
          </cell>
          <cell r="I35">
            <v>46421.813759999997</v>
          </cell>
          <cell r="J35">
            <v>55804.043589839996</v>
          </cell>
          <cell r="K35">
            <v>55857.134405520002</v>
          </cell>
          <cell r="L35">
            <v>57094.686568080004</v>
          </cell>
          <cell r="M35">
            <v>64092.416250239999</v>
          </cell>
          <cell r="N35">
            <v>58455.241261200012</v>
          </cell>
          <cell r="O35">
            <v>615070.21186631999</v>
          </cell>
          <cell r="Q35">
            <v>615070.21186631999</v>
          </cell>
        </row>
        <row r="36">
          <cell r="B36" t="str">
            <v xml:space="preserve"> 4 MM</v>
          </cell>
          <cell r="C36">
            <v>157351.98610035999</v>
          </cell>
          <cell r="D36">
            <v>140994.84</v>
          </cell>
          <cell r="E36">
            <v>213135.78999999998</v>
          </cell>
          <cell r="F36">
            <v>265004.1344028</v>
          </cell>
          <cell r="G36">
            <v>252442.00111439999</v>
          </cell>
          <cell r="H36">
            <v>250961.55559120004</v>
          </cell>
          <cell r="I36">
            <v>288864.84804751998</v>
          </cell>
          <cell r="J36">
            <v>299688.75999256002</v>
          </cell>
          <cell r="K36">
            <v>330395.97190932004</v>
          </cell>
          <cell r="L36">
            <v>336313.34853824001</v>
          </cell>
          <cell r="M36">
            <v>332398.42061232001</v>
          </cell>
          <cell r="N36">
            <v>332654.61825360003</v>
          </cell>
          <cell r="O36">
            <v>3200206.2745623197</v>
          </cell>
          <cell r="Q36">
            <v>3200206.2745623197</v>
          </cell>
        </row>
        <row r="37">
          <cell r="B37" t="str">
            <v xml:space="preserve"> 5 MM</v>
          </cell>
          <cell r="C37">
            <v>39324.133494879999</v>
          </cell>
          <cell r="D37">
            <v>47201.33600000001</v>
          </cell>
          <cell r="E37">
            <v>69224.928499999995</v>
          </cell>
          <cell r="F37">
            <v>71535.32447516</v>
          </cell>
          <cell r="G37">
            <v>84490.781404770009</v>
          </cell>
          <cell r="H37">
            <v>50131.420556100013</v>
          </cell>
          <cell r="I37">
            <v>45477.022775860001</v>
          </cell>
          <cell r="J37">
            <v>91508.650366120011</v>
          </cell>
          <cell r="K37">
            <v>84036.702764429996</v>
          </cell>
          <cell r="L37">
            <v>87897.24422452999</v>
          </cell>
          <cell r="M37">
            <v>93042.707492280009</v>
          </cell>
          <cell r="N37">
            <v>91590.622238700016</v>
          </cell>
          <cell r="O37">
            <v>855460.87429283001</v>
          </cell>
          <cell r="Q37">
            <v>855460.87429283001</v>
          </cell>
        </row>
        <row r="38">
          <cell r="B38" t="str">
            <v xml:space="preserve"> 6 MM</v>
          </cell>
          <cell r="C38">
            <v>37431.966630080009</v>
          </cell>
          <cell r="D38">
            <v>40146.120000000003</v>
          </cell>
          <cell r="E38">
            <v>54964.976000000002</v>
          </cell>
          <cell r="F38">
            <v>78816.418425679993</v>
          </cell>
          <cell r="G38">
            <v>80704.353538800002</v>
          </cell>
          <cell r="H38">
            <v>67356.590144400005</v>
          </cell>
          <cell r="I38">
            <v>62108.380166240007</v>
          </cell>
          <cell r="J38">
            <v>77018.813328559991</v>
          </cell>
          <cell r="K38">
            <v>91410.73141932</v>
          </cell>
          <cell r="L38">
            <v>87260.043453160004</v>
          </cell>
          <cell r="M38">
            <v>87041.386177680004</v>
          </cell>
          <cell r="N38">
            <v>71854.139302199983</v>
          </cell>
          <cell r="O38">
            <v>836113.91858611989</v>
          </cell>
          <cell r="Q38">
            <v>836113.91858611989</v>
          </cell>
        </row>
        <row r="39">
          <cell r="B39" t="str">
            <v xml:space="preserve"> 8 MM</v>
          </cell>
          <cell r="C39">
            <v>35557.304900000003</v>
          </cell>
          <cell r="D39">
            <v>38459.876000000004</v>
          </cell>
          <cell r="E39">
            <v>46050.927000000011</v>
          </cell>
          <cell r="F39">
            <v>54370.776654480003</v>
          </cell>
          <cell r="G39">
            <v>65505.023996100012</v>
          </cell>
          <cell r="H39">
            <v>41243.813000000002</v>
          </cell>
          <cell r="I39">
            <v>32214.528186880001</v>
          </cell>
          <cell r="J39">
            <v>48197.582115800004</v>
          </cell>
          <cell r="K39">
            <v>51546.379009320008</v>
          </cell>
          <cell r="L39">
            <v>60660.726507420004</v>
          </cell>
          <cell r="M39">
            <v>63197.560918440016</v>
          </cell>
          <cell r="N39">
            <v>70871.026847400004</v>
          </cell>
          <cell r="O39">
            <v>607875.52513584006</v>
          </cell>
          <cell r="Q39">
            <v>607875.52513584006</v>
          </cell>
        </row>
        <row r="40">
          <cell r="B40" t="str">
            <v>10 MM</v>
          </cell>
          <cell r="C40">
            <v>19128.865526310001</v>
          </cell>
          <cell r="D40">
            <v>12402.067999999997</v>
          </cell>
          <cell r="E40">
            <v>6422.499499999999</v>
          </cell>
          <cell r="F40">
            <v>25115.149187180003</v>
          </cell>
          <cell r="G40">
            <v>28281.049802499998</v>
          </cell>
          <cell r="H40">
            <v>19426.587328499998</v>
          </cell>
          <cell r="I40">
            <v>9453.8507282800001</v>
          </cell>
          <cell r="J40">
            <v>15220.660937670002</v>
          </cell>
          <cell r="K40">
            <v>21889.236510900002</v>
          </cell>
          <cell r="L40">
            <v>27694.13869014</v>
          </cell>
          <cell r="M40">
            <v>24706.862185980004</v>
          </cell>
          <cell r="N40">
            <v>18675.683423550003</v>
          </cell>
          <cell r="O40">
            <v>228416.65182101002</v>
          </cell>
          <cell r="Q40">
            <v>228416.65182101002</v>
          </cell>
        </row>
        <row r="41">
          <cell r="B41" t="str">
            <v>KAPLAMALI CAMLAR</v>
          </cell>
          <cell r="C41">
            <v>154435.65368908001</v>
          </cell>
          <cell r="D41">
            <v>40565.672000000006</v>
          </cell>
          <cell r="E41">
            <v>76366.04800000001</v>
          </cell>
          <cell r="F41">
            <v>114248.70733848002</v>
          </cell>
          <cell r="G41">
            <v>130726.20267487998</v>
          </cell>
          <cell r="H41">
            <v>132145.51081000001</v>
          </cell>
          <cell r="I41">
            <v>126417.72076136</v>
          </cell>
          <cell r="J41">
            <v>177418.04188512004</v>
          </cell>
          <cell r="K41">
            <v>198454.78999548001</v>
          </cell>
          <cell r="L41">
            <v>178002.50630140002</v>
          </cell>
          <cell r="M41">
            <v>155544.12389376</v>
          </cell>
          <cell r="N41">
            <v>123548.26989600001</v>
          </cell>
          <cell r="O41">
            <v>1607873.2472455599</v>
          </cell>
          <cell r="Q41">
            <v>1607873.2472455599</v>
          </cell>
        </row>
        <row r="42">
          <cell r="B42" t="str">
            <v>TOPL.RENKSIZ</v>
          </cell>
          <cell r="C42">
            <v>482926.71894055</v>
          </cell>
          <cell r="D42">
            <v>355129.88</v>
          </cell>
          <cell r="E42">
            <v>513540.49700000003</v>
          </cell>
          <cell r="F42">
            <v>657306.05984394008</v>
          </cell>
          <cell r="G42">
            <v>691967.44237568998</v>
          </cell>
          <cell r="H42">
            <v>618144.66965740011</v>
          </cell>
          <cell r="I42">
            <v>610958.16442613991</v>
          </cell>
          <cell r="J42">
            <v>764856.55221567</v>
          </cell>
          <cell r="K42">
            <v>833590.94601428998</v>
          </cell>
          <cell r="L42">
            <v>834922.69428296993</v>
          </cell>
          <cell r="M42">
            <v>820023.47753070004</v>
          </cell>
          <cell r="N42">
            <v>767649.60122265003</v>
          </cell>
          <cell r="O42">
            <v>7951016.7035099994</v>
          </cell>
          <cell r="P42">
            <v>4584054</v>
          </cell>
          <cell r="Q42">
            <v>7951016.7035099994</v>
          </cell>
        </row>
        <row r="43">
          <cell r="B43" t="str">
            <v>RENKLİ</v>
          </cell>
          <cell r="P43">
            <v>71798</v>
          </cell>
          <cell r="Q43">
            <v>0</v>
          </cell>
        </row>
        <row r="44">
          <cell r="B44" t="str">
            <v>AYNA</v>
          </cell>
          <cell r="C44">
            <v>16186.491347999998</v>
          </cell>
          <cell r="D44">
            <v>15741.6</v>
          </cell>
          <cell r="E44">
            <v>16303.8</v>
          </cell>
          <cell r="F44">
            <v>17202.397991999998</v>
          </cell>
          <cell r="G44">
            <v>18039.547523999998</v>
          </cell>
          <cell r="H44">
            <v>18775.118760000001</v>
          </cell>
          <cell r="I44">
            <v>19418.410487999998</v>
          </cell>
          <cell r="J44">
            <v>19909.829507999999</v>
          </cell>
          <cell r="K44">
            <v>20532.971987999998</v>
          </cell>
          <cell r="L44">
            <v>21476.231147999999</v>
          </cell>
          <cell r="M44">
            <v>22374.368136000001</v>
          </cell>
          <cell r="N44">
            <v>23250.286979999997</v>
          </cell>
          <cell r="O44">
            <v>229211.05387199999</v>
          </cell>
          <cell r="P44">
            <v>211490</v>
          </cell>
          <cell r="Q44">
            <v>229211.05387199999</v>
          </cell>
        </row>
        <row r="45">
          <cell r="B45" t="str">
            <v>LAMİNE</v>
          </cell>
          <cell r="C45">
            <v>4343.8934225000003</v>
          </cell>
          <cell r="D45">
            <v>4224.5</v>
          </cell>
          <cell r="E45">
            <v>26252.25</v>
          </cell>
          <cell r="F45">
            <v>27699.165390000002</v>
          </cell>
          <cell r="G45">
            <v>32920.088549</v>
          </cell>
          <cell r="H45">
            <v>34262.421009999998</v>
          </cell>
          <cell r="I45">
            <v>27098.388382000005</v>
          </cell>
          <cell r="J45">
            <v>27784.163537000004</v>
          </cell>
          <cell r="K45">
            <v>31959.9616905</v>
          </cell>
          <cell r="L45">
            <v>34580.857785000007</v>
          </cell>
          <cell r="M45">
            <v>36027.030870000002</v>
          </cell>
          <cell r="N45">
            <v>44924.914170000004</v>
          </cell>
          <cell r="O45">
            <v>332077.63480600005</v>
          </cell>
          <cell r="P45">
            <v>166027</v>
          </cell>
          <cell r="Q45">
            <v>332077.63480600005</v>
          </cell>
        </row>
        <row r="46">
          <cell r="B46" t="str">
            <v>GENEL TOPLAM</v>
          </cell>
          <cell r="C46">
            <v>503457.10371105</v>
          </cell>
          <cell r="D46">
            <v>375095.98</v>
          </cell>
          <cell r="E46">
            <v>556096.54700000002</v>
          </cell>
          <cell r="F46">
            <v>702207.62322594004</v>
          </cell>
          <cell r="G46">
            <v>742927.07844869001</v>
          </cell>
          <cell r="H46">
            <v>671182.20942740014</v>
          </cell>
          <cell r="I46">
            <v>657474.96329613996</v>
          </cell>
          <cell r="J46">
            <v>812550.54526067001</v>
          </cell>
          <cell r="K46">
            <v>886083.87969278998</v>
          </cell>
          <cell r="L46">
            <v>890979.78321596992</v>
          </cell>
          <cell r="M46">
            <v>878424.87653670006</v>
          </cell>
          <cell r="N46">
            <v>835824.80237265001</v>
          </cell>
          <cell r="O46">
            <v>8512305.3921879996</v>
          </cell>
          <cell r="P46">
            <v>5033369</v>
          </cell>
          <cell r="Q46">
            <v>8512305.3921879996</v>
          </cell>
        </row>
        <row r="47">
          <cell r="Q47">
            <v>0</v>
          </cell>
        </row>
        <row r="50">
          <cell r="P50">
            <v>2001</v>
          </cell>
          <cell r="Q50">
            <v>0</v>
          </cell>
        </row>
        <row r="51">
          <cell r="B51" t="str">
            <v xml:space="preserve">  ( 000 M2)</v>
          </cell>
          <cell r="C51" t="str">
            <v>OCAK</v>
          </cell>
          <cell r="D51" t="str">
            <v>SUBAT</v>
          </cell>
          <cell r="E51" t="str">
            <v>MART</v>
          </cell>
          <cell r="F51" t="str">
            <v>NISAN</v>
          </cell>
          <cell r="G51" t="str">
            <v>MAYIS</v>
          </cell>
          <cell r="H51" t="str">
            <v>HAZIRAN</v>
          </cell>
          <cell r="I51" t="str">
            <v>TEMMUZ</v>
          </cell>
          <cell r="J51" t="str">
            <v>AGUSTOS</v>
          </cell>
          <cell r="K51" t="str">
            <v>EYLUL</v>
          </cell>
          <cell r="L51" t="str">
            <v>EKIM</v>
          </cell>
          <cell r="M51" t="str">
            <v>KASIM</v>
          </cell>
          <cell r="N51" t="str">
            <v>ARALIK</v>
          </cell>
          <cell r="O51" t="str">
            <v>TOPLAM</v>
          </cell>
          <cell r="P51" t="str">
            <v>BEKLENEN</v>
          </cell>
          <cell r="R51" t="str">
            <v>KG/M2</v>
          </cell>
        </row>
        <row r="52">
          <cell r="B52" t="str">
            <v xml:space="preserve"> 2 MM</v>
          </cell>
          <cell r="C52">
            <v>0</v>
          </cell>
          <cell r="D52">
            <v>0</v>
          </cell>
          <cell r="E52">
            <v>0</v>
          </cell>
          <cell r="F52">
            <v>0</v>
          </cell>
          <cell r="G52">
            <v>0</v>
          </cell>
          <cell r="H52">
            <v>0</v>
          </cell>
          <cell r="I52">
            <v>0</v>
          </cell>
          <cell r="J52">
            <v>0</v>
          </cell>
          <cell r="K52">
            <v>0</v>
          </cell>
          <cell r="L52">
            <v>0</v>
          </cell>
          <cell r="M52">
            <v>0</v>
          </cell>
          <cell r="N52">
            <v>0</v>
          </cell>
          <cell r="O52">
            <v>0</v>
          </cell>
          <cell r="Q52">
            <v>0</v>
          </cell>
          <cell r="R52">
            <v>5.3</v>
          </cell>
        </row>
        <row r="53">
          <cell r="B53" t="str">
            <v xml:space="preserve"> 2.2 MM</v>
          </cell>
          <cell r="C53">
            <v>0</v>
          </cell>
          <cell r="D53">
            <v>0</v>
          </cell>
          <cell r="E53">
            <v>0</v>
          </cell>
          <cell r="F53">
            <v>0</v>
          </cell>
          <cell r="G53">
            <v>0</v>
          </cell>
          <cell r="H53">
            <v>0</v>
          </cell>
          <cell r="I53">
            <v>0</v>
          </cell>
          <cell r="J53">
            <v>0</v>
          </cell>
          <cell r="K53">
            <v>0</v>
          </cell>
          <cell r="L53">
            <v>0</v>
          </cell>
          <cell r="M53">
            <v>0</v>
          </cell>
          <cell r="N53">
            <v>0</v>
          </cell>
          <cell r="O53">
            <v>0</v>
          </cell>
          <cell r="Q53">
            <v>0</v>
          </cell>
          <cell r="R53">
            <v>5.5</v>
          </cell>
        </row>
        <row r="54">
          <cell r="B54" t="str">
            <v xml:space="preserve"> 2.5 MM</v>
          </cell>
          <cell r="C54">
            <v>0</v>
          </cell>
          <cell r="D54">
            <v>0</v>
          </cell>
          <cell r="E54">
            <v>0</v>
          </cell>
          <cell r="F54">
            <v>0</v>
          </cell>
          <cell r="G54">
            <v>0</v>
          </cell>
          <cell r="H54">
            <v>0</v>
          </cell>
          <cell r="I54">
            <v>0</v>
          </cell>
          <cell r="J54">
            <v>0</v>
          </cell>
          <cell r="K54">
            <v>0</v>
          </cell>
          <cell r="L54">
            <v>0</v>
          </cell>
          <cell r="M54">
            <v>0</v>
          </cell>
          <cell r="N54">
            <v>0</v>
          </cell>
          <cell r="O54">
            <v>0</v>
          </cell>
          <cell r="Q54">
            <v>0</v>
          </cell>
          <cell r="R54">
            <v>6.25</v>
          </cell>
        </row>
        <row r="55">
          <cell r="B55" t="str">
            <v xml:space="preserve"> 3 MM</v>
          </cell>
          <cell r="C55">
            <v>79.311000000000007</v>
          </cell>
          <cell r="D55">
            <v>84.688999999999993</v>
          </cell>
          <cell r="E55">
            <v>120.139</v>
          </cell>
          <cell r="F55">
            <v>136.69</v>
          </cell>
          <cell r="G55">
            <v>125.655</v>
          </cell>
          <cell r="H55">
            <v>163.86099999999999</v>
          </cell>
          <cell r="I55">
            <v>99.724000000000004</v>
          </cell>
          <cell r="J55">
            <v>121.655</v>
          </cell>
          <cell r="K55">
            <v>99.724000000000004</v>
          </cell>
          <cell r="L55">
            <v>127.036</v>
          </cell>
          <cell r="M55">
            <v>110.758</v>
          </cell>
          <cell r="N55">
            <v>127.173</v>
          </cell>
          <cell r="O55">
            <v>1396.4150000000002</v>
          </cell>
          <cell r="Q55">
            <v>1396.4150000000002</v>
          </cell>
          <cell r="R55">
            <v>7.25</v>
          </cell>
        </row>
        <row r="56">
          <cell r="B56" t="str">
            <v xml:space="preserve"> 3.2 MM</v>
          </cell>
          <cell r="C56">
            <v>1.375</v>
          </cell>
          <cell r="D56">
            <v>1.5</v>
          </cell>
          <cell r="E56">
            <v>2.375</v>
          </cell>
          <cell r="F56">
            <v>2.625</v>
          </cell>
          <cell r="G56">
            <v>2.375</v>
          </cell>
          <cell r="H56">
            <v>3.125</v>
          </cell>
          <cell r="I56">
            <v>1.5</v>
          </cell>
          <cell r="J56">
            <v>2</v>
          </cell>
          <cell r="K56">
            <v>1.5</v>
          </cell>
          <cell r="L56">
            <v>2.125</v>
          </cell>
          <cell r="M56">
            <v>1.75</v>
          </cell>
          <cell r="N56">
            <v>2.125</v>
          </cell>
          <cell r="O56">
            <v>24.375</v>
          </cell>
          <cell r="Q56">
            <v>24.375</v>
          </cell>
          <cell r="R56">
            <v>8</v>
          </cell>
        </row>
        <row r="57">
          <cell r="B57" t="str">
            <v xml:space="preserve"> 3.5 MM</v>
          </cell>
          <cell r="C57">
            <v>0</v>
          </cell>
          <cell r="D57">
            <v>0</v>
          </cell>
          <cell r="E57">
            <v>0</v>
          </cell>
          <cell r="F57">
            <v>0</v>
          </cell>
          <cell r="G57">
            <v>0</v>
          </cell>
          <cell r="H57">
            <v>0</v>
          </cell>
          <cell r="I57">
            <v>0</v>
          </cell>
          <cell r="J57">
            <v>0</v>
          </cell>
          <cell r="K57">
            <v>0</v>
          </cell>
          <cell r="L57">
            <v>0</v>
          </cell>
          <cell r="M57">
            <v>0</v>
          </cell>
          <cell r="N57">
            <v>0</v>
          </cell>
          <cell r="O57">
            <v>0</v>
          </cell>
          <cell r="Q57">
            <v>0</v>
          </cell>
          <cell r="R57">
            <v>8.75</v>
          </cell>
        </row>
        <row r="58">
          <cell r="B58" t="str">
            <v xml:space="preserve"> 4 MM</v>
          </cell>
          <cell r="C58">
            <v>656.86</v>
          </cell>
          <cell r="D58">
            <v>702.07899999999995</v>
          </cell>
          <cell r="E58">
            <v>995.53</v>
          </cell>
          <cell r="F58">
            <v>1131.289</v>
          </cell>
          <cell r="G58">
            <v>1040.8530000000001</v>
          </cell>
          <cell r="H58">
            <v>1357.588</v>
          </cell>
          <cell r="I58">
            <v>827.44399999999996</v>
          </cell>
          <cell r="J58">
            <v>1008.524</v>
          </cell>
          <cell r="K58">
            <v>827.44399999999996</v>
          </cell>
          <cell r="L58">
            <v>1053.742</v>
          </cell>
          <cell r="M58">
            <v>917.98299999999995</v>
          </cell>
          <cell r="N58">
            <v>1053.742</v>
          </cell>
          <cell r="O58">
            <v>11573.078000000001</v>
          </cell>
          <cell r="Q58">
            <v>11573.078000000001</v>
          </cell>
          <cell r="R58">
            <v>9.6199999999999992</v>
          </cell>
        </row>
        <row r="59">
          <cell r="B59" t="str">
            <v xml:space="preserve"> 4.15 MM</v>
          </cell>
          <cell r="C59">
            <v>0</v>
          </cell>
          <cell r="D59">
            <v>0</v>
          </cell>
          <cell r="E59">
            <v>0</v>
          </cell>
          <cell r="F59">
            <v>0</v>
          </cell>
          <cell r="G59">
            <v>0</v>
          </cell>
          <cell r="H59">
            <v>0</v>
          </cell>
          <cell r="I59">
            <v>0</v>
          </cell>
          <cell r="J59">
            <v>0</v>
          </cell>
          <cell r="K59">
            <v>0</v>
          </cell>
          <cell r="L59">
            <v>0</v>
          </cell>
          <cell r="M59">
            <v>0</v>
          </cell>
          <cell r="N59">
            <v>0</v>
          </cell>
          <cell r="O59">
            <v>0</v>
          </cell>
          <cell r="Q59">
            <v>0</v>
          </cell>
          <cell r="R59">
            <v>10.5</v>
          </cell>
        </row>
        <row r="60">
          <cell r="B60" t="str">
            <v xml:space="preserve"> 5 MM</v>
          </cell>
          <cell r="C60">
            <v>31.934000000000001</v>
          </cell>
          <cell r="D60">
            <v>34.073999999999998</v>
          </cell>
          <cell r="E60">
            <v>48.395000000000003</v>
          </cell>
          <cell r="F60">
            <v>54.978999999999999</v>
          </cell>
          <cell r="G60">
            <v>50.618000000000002</v>
          </cell>
          <cell r="H60">
            <v>66.007999999999996</v>
          </cell>
          <cell r="I60">
            <v>40.164000000000001</v>
          </cell>
          <cell r="J60">
            <v>48.970999999999997</v>
          </cell>
          <cell r="K60">
            <v>40.164000000000001</v>
          </cell>
          <cell r="L60">
            <v>51.192999999999998</v>
          </cell>
          <cell r="M60">
            <v>44.527000000000001</v>
          </cell>
          <cell r="N60">
            <v>51.192999999999998</v>
          </cell>
          <cell r="O60">
            <v>562.21999999999991</v>
          </cell>
          <cell r="Q60">
            <v>562.21999999999991</v>
          </cell>
          <cell r="R60">
            <v>12.15</v>
          </cell>
        </row>
        <row r="61">
          <cell r="B61" t="str">
            <v xml:space="preserve"> 6 MM</v>
          </cell>
          <cell r="C61">
            <v>51.671999999999997</v>
          </cell>
          <cell r="D61">
            <v>55.085000000000001</v>
          </cell>
          <cell r="E61">
            <v>75.632000000000005</v>
          </cell>
          <cell r="F61">
            <v>85.938999999999993</v>
          </cell>
          <cell r="G61">
            <v>79.045000000000002</v>
          </cell>
          <cell r="H61">
            <v>103.14</v>
          </cell>
          <cell r="I61">
            <v>67.370999999999995</v>
          </cell>
          <cell r="J61">
            <v>81.091999999999999</v>
          </cell>
          <cell r="K61">
            <v>67.370999999999995</v>
          </cell>
          <cell r="L61">
            <v>84.506</v>
          </cell>
          <cell r="M61">
            <v>74.198999999999998</v>
          </cell>
          <cell r="N61">
            <v>84.436999999999998</v>
          </cell>
          <cell r="O61">
            <v>909.48899999999992</v>
          </cell>
          <cell r="Q61">
            <v>909.48899999999992</v>
          </cell>
          <cell r="R61">
            <v>14.65</v>
          </cell>
        </row>
        <row r="62">
          <cell r="B62" t="str">
            <v xml:space="preserve"> 8 MM</v>
          </cell>
          <cell r="C62">
            <v>11.581</v>
          </cell>
          <cell r="D62">
            <v>12.398</v>
          </cell>
          <cell r="E62">
            <v>16.888000000000002</v>
          </cell>
          <cell r="F62">
            <v>19.183</v>
          </cell>
          <cell r="G62">
            <v>17.652999999999999</v>
          </cell>
          <cell r="H62">
            <v>23.01</v>
          </cell>
          <cell r="I62">
            <v>15.204000000000001</v>
          </cell>
          <cell r="J62">
            <v>18.265000000000001</v>
          </cell>
          <cell r="K62">
            <v>15.204000000000001</v>
          </cell>
          <cell r="L62">
            <v>19.030999999999999</v>
          </cell>
          <cell r="M62">
            <v>16.734999999999999</v>
          </cell>
          <cell r="N62">
            <v>19.082000000000001</v>
          </cell>
          <cell r="O62">
            <v>204.23400000000004</v>
          </cell>
          <cell r="Q62">
            <v>204.23400000000004</v>
          </cell>
          <cell r="R62">
            <v>19.600000000000001</v>
          </cell>
        </row>
        <row r="63">
          <cell r="B63" t="str">
            <v>10 MM</v>
          </cell>
          <cell r="C63">
            <v>9.2279999999999998</v>
          </cell>
          <cell r="D63">
            <v>9.8780000000000001</v>
          </cell>
          <cell r="E63">
            <v>13.455</v>
          </cell>
          <cell r="F63">
            <v>15.284000000000001</v>
          </cell>
          <cell r="G63">
            <v>14.065</v>
          </cell>
          <cell r="H63">
            <v>18.334</v>
          </cell>
          <cell r="I63">
            <v>12.114000000000001</v>
          </cell>
          <cell r="J63">
            <v>14.553000000000001</v>
          </cell>
          <cell r="K63">
            <v>12.114000000000001</v>
          </cell>
          <cell r="L63">
            <v>15.162000000000001</v>
          </cell>
          <cell r="M63">
            <v>13.334</v>
          </cell>
          <cell r="N63">
            <v>15.202999999999999</v>
          </cell>
          <cell r="O63">
            <v>162.72400000000002</v>
          </cell>
          <cell r="Q63">
            <v>162.72400000000002</v>
          </cell>
          <cell r="R63">
            <v>24.6</v>
          </cell>
        </row>
        <row r="64">
          <cell r="B64" t="str">
            <v>12 MM</v>
          </cell>
          <cell r="C64">
            <v>0.94299999999999995</v>
          </cell>
          <cell r="D64">
            <v>1.01</v>
          </cell>
          <cell r="E64">
            <v>1.6160000000000001</v>
          </cell>
          <cell r="F64">
            <v>1.8180000000000001</v>
          </cell>
          <cell r="G64">
            <v>1.6839999999999999</v>
          </cell>
          <cell r="H64">
            <v>2.1890000000000001</v>
          </cell>
          <cell r="I64">
            <v>1.077</v>
          </cell>
          <cell r="J64">
            <v>1.347</v>
          </cell>
          <cell r="K64">
            <v>1.077</v>
          </cell>
          <cell r="L64">
            <v>1.448</v>
          </cell>
          <cell r="M64">
            <v>1.212</v>
          </cell>
          <cell r="N64">
            <v>1.448</v>
          </cell>
          <cell r="O64">
            <v>16.869</v>
          </cell>
          <cell r="Q64">
            <v>16.869</v>
          </cell>
          <cell r="R64">
            <v>29.7</v>
          </cell>
        </row>
        <row r="65">
          <cell r="B65" t="str">
            <v>SERCAM</v>
          </cell>
          <cell r="C65">
            <v>2.069</v>
          </cell>
          <cell r="D65">
            <v>4.1379999999999999</v>
          </cell>
          <cell r="E65">
            <v>2.069</v>
          </cell>
          <cell r="F65">
            <v>2.069</v>
          </cell>
          <cell r="G65">
            <v>6.2069999999999999</v>
          </cell>
          <cell r="H65">
            <v>29.655000000000001</v>
          </cell>
          <cell r="I65">
            <v>6.2069999999999999</v>
          </cell>
          <cell r="J65">
            <v>6.2069999999999999</v>
          </cell>
          <cell r="K65">
            <v>28.276</v>
          </cell>
          <cell r="L65">
            <v>12.414</v>
          </cell>
          <cell r="M65">
            <v>2.069</v>
          </cell>
          <cell r="N65">
            <v>2.069</v>
          </cell>
          <cell r="O65">
            <v>103.44900000000001</v>
          </cell>
          <cell r="P65">
            <v>592</v>
          </cell>
          <cell r="Q65">
            <v>103.44900000000001</v>
          </cell>
          <cell r="R65">
            <v>7.25</v>
          </cell>
        </row>
        <row r="66">
          <cell r="B66" t="str">
            <v>TOPL.RENKSIZ</v>
          </cell>
          <cell r="C66">
            <v>844.97299999999996</v>
          </cell>
          <cell r="D66">
            <v>904.851</v>
          </cell>
          <cell r="E66">
            <v>1276.0989999999997</v>
          </cell>
          <cell r="F66">
            <v>1449.8760000000002</v>
          </cell>
          <cell r="G66">
            <v>1338.1550000000002</v>
          </cell>
          <cell r="H66">
            <v>1766.9100000000003</v>
          </cell>
          <cell r="I66">
            <v>1070.8050000000001</v>
          </cell>
          <cell r="J66">
            <v>1302.6140000000005</v>
          </cell>
          <cell r="K66">
            <v>1092.874</v>
          </cell>
          <cell r="L66">
            <v>1366.6570000000002</v>
          </cell>
          <cell r="M66">
            <v>1182.567</v>
          </cell>
          <cell r="N66">
            <v>1356.472</v>
          </cell>
          <cell r="O66">
            <v>14952.853000000003</v>
          </cell>
          <cell r="P66">
            <v>15554</v>
          </cell>
          <cell r="Q66">
            <v>14952.852999999997</v>
          </cell>
        </row>
        <row r="67">
          <cell r="B67" t="str">
            <v>RENKLI</v>
          </cell>
          <cell r="C67">
            <v>58.056000000000004</v>
          </cell>
          <cell r="D67">
            <v>60.743000000000002</v>
          </cell>
          <cell r="E67">
            <v>70.309000000000012</v>
          </cell>
          <cell r="F67">
            <v>80.407999999999987</v>
          </cell>
          <cell r="G67">
            <v>73.882000000000019</v>
          </cell>
          <cell r="H67">
            <v>96.421999999999983</v>
          </cell>
          <cell r="I67">
            <v>86.728999999999985</v>
          </cell>
          <cell r="J67">
            <v>99.495999999999995</v>
          </cell>
          <cell r="K67">
            <v>86.728999999999985</v>
          </cell>
          <cell r="L67">
            <v>102.55500000000001</v>
          </cell>
          <cell r="M67">
            <v>92.933000000000007</v>
          </cell>
          <cell r="N67">
            <v>102.65900000000001</v>
          </cell>
          <cell r="O67">
            <v>1010.9209999999999</v>
          </cell>
          <cell r="P67">
            <v>811</v>
          </cell>
          <cell r="Q67">
            <v>1010.9209999999999</v>
          </cell>
        </row>
        <row r="68">
          <cell r="B68" t="str">
            <v>A.YEŞİL</v>
          </cell>
          <cell r="Q68">
            <v>0</v>
          </cell>
          <cell r="R68" t="str">
            <v>KG/M2</v>
          </cell>
        </row>
        <row r="69">
          <cell r="B69" t="str">
            <v xml:space="preserve"> 2.2 MM</v>
          </cell>
          <cell r="C69">
            <v>14.545</v>
          </cell>
          <cell r="D69">
            <v>15.273</v>
          </cell>
          <cell r="E69">
            <v>17.818000000000001</v>
          </cell>
          <cell r="F69">
            <v>20.181999999999999</v>
          </cell>
          <cell r="G69">
            <v>18.545000000000002</v>
          </cell>
          <cell r="H69">
            <v>24.181999999999999</v>
          </cell>
          <cell r="I69">
            <v>21.818000000000001</v>
          </cell>
          <cell r="J69">
            <v>25.091000000000001</v>
          </cell>
          <cell r="K69">
            <v>21.818000000000001</v>
          </cell>
          <cell r="L69">
            <v>25.818000000000001</v>
          </cell>
          <cell r="M69">
            <v>23.454999999999998</v>
          </cell>
          <cell r="N69">
            <v>25.818000000000001</v>
          </cell>
          <cell r="O69">
            <v>254.36300000000003</v>
          </cell>
          <cell r="Q69">
            <v>254.36300000000003</v>
          </cell>
          <cell r="R69">
            <v>5.5</v>
          </cell>
        </row>
        <row r="70">
          <cell r="B70" t="str">
            <v xml:space="preserve"> 2.5 MM</v>
          </cell>
          <cell r="C70">
            <v>4.6399999999999997</v>
          </cell>
          <cell r="D70">
            <v>4.8</v>
          </cell>
          <cell r="E70">
            <v>5.6</v>
          </cell>
          <cell r="F70">
            <v>6.4</v>
          </cell>
          <cell r="G70">
            <v>5.92</v>
          </cell>
          <cell r="H70">
            <v>7.68</v>
          </cell>
          <cell r="I70">
            <v>6.88</v>
          </cell>
          <cell r="J70">
            <v>7.84</v>
          </cell>
          <cell r="K70">
            <v>6.88</v>
          </cell>
          <cell r="L70">
            <v>8.16</v>
          </cell>
          <cell r="M70">
            <v>7.36</v>
          </cell>
          <cell r="N70">
            <v>8.16</v>
          </cell>
          <cell r="O70">
            <v>80.320000000000007</v>
          </cell>
          <cell r="Q70">
            <v>80.320000000000007</v>
          </cell>
          <cell r="R70">
            <v>6.25</v>
          </cell>
        </row>
        <row r="71">
          <cell r="B71" t="str">
            <v xml:space="preserve"> 3 MM</v>
          </cell>
          <cell r="C71">
            <v>4.8280000000000003</v>
          </cell>
          <cell r="D71">
            <v>4.9660000000000002</v>
          </cell>
          <cell r="E71">
            <v>5.7939999999999996</v>
          </cell>
          <cell r="F71">
            <v>6.62</v>
          </cell>
          <cell r="G71">
            <v>6.069</v>
          </cell>
          <cell r="H71">
            <v>8</v>
          </cell>
          <cell r="I71">
            <v>7.1719999999999997</v>
          </cell>
          <cell r="J71">
            <v>8.1379999999999999</v>
          </cell>
          <cell r="K71">
            <v>7.1719999999999997</v>
          </cell>
          <cell r="L71">
            <v>8.4130000000000003</v>
          </cell>
          <cell r="M71">
            <v>7.5860000000000003</v>
          </cell>
          <cell r="N71">
            <v>8.4130000000000003</v>
          </cell>
          <cell r="O71">
            <v>83.170999999999992</v>
          </cell>
          <cell r="Q71">
            <v>83.170999999999992</v>
          </cell>
          <cell r="R71">
            <v>7.25</v>
          </cell>
        </row>
        <row r="75">
          <cell r="B75" t="str">
            <v xml:space="preserve"> 5 MM</v>
          </cell>
          <cell r="C75">
            <v>3.2919999999999998</v>
          </cell>
          <cell r="D75">
            <v>3.4569999999999999</v>
          </cell>
          <cell r="E75">
            <v>4.0330000000000004</v>
          </cell>
          <cell r="F75">
            <v>4.609</v>
          </cell>
          <cell r="G75">
            <v>4.1970000000000001</v>
          </cell>
          <cell r="H75">
            <v>5.5140000000000002</v>
          </cell>
          <cell r="I75">
            <v>4.9390000000000001</v>
          </cell>
          <cell r="J75">
            <v>5.6790000000000003</v>
          </cell>
          <cell r="K75">
            <v>4.9390000000000001</v>
          </cell>
          <cell r="L75">
            <v>5.8440000000000003</v>
          </cell>
          <cell r="M75">
            <v>5.2679999999999998</v>
          </cell>
          <cell r="N75">
            <v>5.8440000000000003</v>
          </cell>
          <cell r="O75">
            <v>57.615000000000002</v>
          </cell>
          <cell r="Q75">
            <v>57.615000000000002</v>
          </cell>
          <cell r="R75">
            <v>12.15</v>
          </cell>
        </row>
        <row r="76">
          <cell r="B76" t="str">
            <v xml:space="preserve"> 5,5 MM</v>
          </cell>
          <cell r="C76">
            <v>0</v>
          </cell>
          <cell r="D76">
            <v>0</v>
          </cell>
          <cell r="E76">
            <v>0</v>
          </cell>
          <cell r="F76">
            <v>0</v>
          </cell>
          <cell r="G76">
            <v>0</v>
          </cell>
          <cell r="H76">
            <v>0</v>
          </cell>
          <cell r="I76">
            <v>0</v>
          </cell>
          <cell r="J76">
            <v>0</v>
          </cell>
          <cell r="K76">
            <v>0</v>
          </cell>
          <cell r="L76">
            <v>0</v>
          </cell>
          <cell r="M76">
            <v>0</v>
          </cell>
          <cell r="N76">
            <v>0</v>
          </cell>
          <cell r="O76">
            <v>0</v>
          </cell>
          <cell r="Q76">
            <v>0</v>
          </cell>
          <cell r="R76">
            <v>13.75</v>
          </cell>
        </row>
        <row r="77">
          <cell r="B77" t="str">
            <v xml:space="preserve"> 6 MM</v>
          </cell>
          <cell r="C77">
            <v>2.3889999999999998</v>
          </cell>
          <cell r="D77">
            <v>2.4580000000000002</v>
          </cell>
          <cell r="E77">
            <v>2.7989999999999999</v>
          </cell>
          <cell r="F77">
            <v>3.2759999999999998</v>
          </cell>
          <cell r="G77">
            <v>3.004</v>
          </cell>
          <cell r="H77">
            <v>3.96</v>
          </cell>
          <cell r="I77">
            <v>3.5489999999999999</v>
          </cell>
          <cell r="J77">
            <v>4.0279999999999996</v>
          </cell>
          <cell r="K77">
            <v>3.5489999999999999</v>
          </cell>
          <cell r="L77">
            <v>4.1639999999999997</v>
          </cell>
          <cell r="M77">
            <v>3.8220000000000001</v>
          </cell>
          <cell r="N77">
            <v>4.1639999999999997</v>
          </cell>
          <cell r="O77">
            <v>41.161999999999999</v>
          </cell>
          <cell r="Q77">
            <v>41.161999999999999</v>
          </cell>
          <cell r="R77">
            <v>14.65</v>
          </cell>
        </row>
        <row r="78">
          <cell r="B78" t="str">
            <v xml:space="preserve"> 8 MM</v>
          </cell>
          <cell r="C78">
            <v>0</v>
          </cell>
          <cell r="D78">
            <v>0</v>
          </cell>
          <cell r="E78">
            <v>0</v>
          </cell>
          <cell r="F78">
            <v>0</v>
          </cell>
          <cell r="G78">
            <v>0</v>
          </cell>
          <cell r="H78">
            <v>0</v>
          </cell>
          <cell r="I78">
            <v>0</v>
          </cell>
          <cell r="J78">
            <v>0</v>
          </cell>
          <cell r="K78">
            <v>0</v>
          </cell>
          <cell r="L78">
            <v>0</v>
          </cell>
          <cell r="M78">
            <v>0</v>
          </cell>
          <cell r="N78">
            <v>0</v>
          </cell>
          <cell r="O78">
            <v>0</v>
          </cell>
          <cell r="Q78">
            <v>0</v>
          </cell>
          <cell r="R78">
            <v>19.600000000000001</v>
          </cell>
        </row>
        <row r="79">
          <cell r="B79" t="str">
            <v>YANSITICI</v>
          </cell>
          <cell r="C79">
            <v>6.3529999999999998</v>
          </cell>
          <cell r="D79">
            <v>6.6290000000000004</v>
          </cell>
          <cell r="E79">
            <v>7.7329999999999997</v>
          </cell>
          <cell r="F79">
            <v>8.8369999999999997</v>
          </cell>
          <cell r="G79">
            <v>8.1810000000000009</v>
          </cell>
          <cell r="H79">
            <v>10.668000000000001</v>
          </cell>
          <cell r="I79">
            <v>9.5609999999999999</v>
          </cell>
          <cell r="J79">
            <v>10.943999999999999</v>
          </cell>
          <cell r="K79">
            <v>9.5609999999999999</v>
          </cell>
          <cell r="L79">
            <v>11.151</v>
          </cell>
          <cell r="M79">
            <v>10.149999999999999</v>
          </cell>
          <cell r="N79">
            <v>11.321999999999999</v>
          </cell>
          <cell r="O79">
            <v>111.09</v>
          </cell>
          <cell r="P79">
            <v>106</v>
          </cell>
          <cell r="Q79">
            <v>111.09</v>
          </cell>
          <cell r="R79" t="str">
            <v>KG/M2</v>
          </cell>
        </row>
        <row r="80">
          <cell r="B80" t="str">
            <v>4 MM</v>
          </cell>
          <cell r="C80">
            <v>4.782</v>
          </cell>
          <cell r="D80">
            <v>4.99</v>
          </cell>
          <cell r="E80">
            <v>5.8209999999999997</v>
          </cell>
          <cell r="F80">
            <v>6.6529999999999996</v>
          </cell>
          <cell r="G80">
            <v>6.133</v>
          </cell>
          <cell r="H80">
            <v>8.0050000000000008</v>
          </cell>
          <cell r="I80">
            <v>7.173</v>
          </cell>
          <cell r="J80">
            <v>8.2129999999999992</v>
          </cell>
          <cell r="K80">
            <v>7.173</v>
          </cell>
          <cell r="L80">
            <v>8.42</v>
          </cell>
          <cell r="M80">
            <v>7.6929999999999996</v>
          </cell>
          <cell r="N80">
            <v>8.5229999999999997</v>
          </cell>
          <cell r="O80">
            <v>83.578999999999994</v>
          </cell>
          <cell r="Q80">
            <v>83.578999999999994</v>
          </cell>
          <cell r="R80">
            <v>9.6199999999999992</v>
          </cell>
        </row>
        <row r="81">
          <cell r="B81" t="str">
            <v>5 MM</v>
          </cell>
          <cell r="C81">
            <v>0</v>
          </cell>
          <cell r="D81">
            <v>0</v>
          </cell>
          <cell r="E81">
            <v>0</v>
          </cell>
          <cell r="F81">
            <v>0</v>
          </cell>
          <cell r="G81">
            <v>0</v>
          </cell>
          <cell r="H81">
            <v>0</v>
          </cell>
          <cell r="I81">
            <v>0</v>
          </cell>
          <cell r="J81">
            <v>0</v>
          </cell>
          <cell r="K81">
            <v>0</v>
          </cell>
          <cell r="L81">
            <v>0</v>
          </cell>
          <cell r="M81">
            <v>0</v>
          </cell>
          <cell r="N81">
            <v>0</v>
          </cell>
          <cell r="O81">
            <v>0</v>
          </cell>
          <cell r="Q81">
            <v>0</v>
          </cell>
          <cell r="R81">
            <v>12.15</v>
          </cell>
        </row>
        <row r="82">
          <cell r="B82" t="str">
            <v>6 MM</v>
          </cell>
          <cell r="C82">
            <v>1.571</v>
          </cell>
          <cell r="D82">
            <v>1.639</v>
          </cell>
          <cell r="E82">
            <v>1.9119999999999999</v>
          </cell>
          <cell r="F82">
            <v>2.1840000000000002</v>
          </cell>
          <cell r="G82">
            <v>2.048</v>
          </cell>
          <cell r="H82">
            <v>2.6629999999999998</v>
          </cell>
          <cell r="I82">
            <v>2.3879999999999999</v>
          </cell>
          <cell r="J82">
            <v>2.7309999999999999</v>
          </cell>
          <cell r="K82">
            <v>2.3879999999999999</v>
          </cell>
          <cell r="L82">
            <v>2.7309999999999999</v>
          </cell>
          <cell r="M82">
            <v>2.4569999999999999</v>
          </cell>
          <cell r="N82">
            <v>2.7989999999999999</v>
          </cell>
          <cell r="O82">
            <v>27.511000000000003</v>
          </cell>
          <cell r="Q82">
            <v>27.511000000000003</v>
          </cell>
          <cell r="R82">
            <v>14.65</v>
          </cell>
        </row>
        <row r="83">
          <cell r="B83" t="str">
            <v>TOPL.DÜZCAM</v>
          </cell>
          <cell r="C83">
            <v>909.38199999999995</v>
          </cell>
          <cell r="D83">
            <v>972.22300000000007</v>
          </cell>
          <cell r="E83">
            <v>1354.1409999999996</v>
          </cell>
          <cell r="F83">
            <v>1539.1210000000001</v>
          </cell>
          <cell r="G83">
            <v>1420.2180000000003</v>
          </cell>
          <cell r="H83">
            <v>1874.0000000000002</v>
          </cell>
          <cell r="I83">
            <v>1167.095</v>
          </cell>
          <cell r="J83">
            <v>1413.0540000000005</v>
          </cell>
          <cell r="K83">
            <v>1189.164</v>
          </cell>
          <cell r="L83">
            <v>1480.3630000000003</v>
          </cell>
          <cell r="M83">
            <v>1285.6500000000001</v>
          </cell>
          <cell r="N83">
            <v>1470.453</v>
          </cell>
          <cell r="O83">
            <v>16074.864000000001</v>
          </cell>
          <cell r="P83">
            <v>17063</v>
          </cell>
          <cell r="Q83">
            <v>16074.864000000001</v>
          </cell>
        </row>
        <row r="84">
          <cell r="B84" t="str">
            <v>LAMİNE</v>
          </cell>
          <cell r="C84">
            <v>12.001000000000001</v>
          </cell>
          <cell r="D84">
            <v>15.000999999999999</v>
          </cell>
          <cell r="E84">
            <v>12.001000000000001</v>
          </cell>
          <cell r="F84">
            <v>20</v>
          </cell>
          <cell r="G84">
            <v>15.000999999999999</v>
          </cell>
          <cell r="H84">
            <v>20</v>
          </cell>
          <cell r="I84">
            <v>18.5</v>
          </cell>
          <cell r="J84">
            <v>22.002000000000002</v>
          </cell>
          <cell r="K84">
            <v>18.5</v>
          </cell>
          <cell r="L84">
            <v>22.002000000000002</v>
          </cell>
          <cell r="M84">
            <v>15.000999999999999</v>
          </cell>
          <cell r="N84">
            <v>20</v>
          </cell>
          <cell r="O84">
            <v>210.00900000000001</v>
          </cell>
          <cell r="P84">
            <v>210</v>
          </cell>
          <cell r="Q84">
            <v>210.00900000000001</v>
          </cell>
          <cell r="R84" t="str">
            <v>KG/M2</v>
          </cell>
        </row>
        <row r="85">
          <cell r="B85" t="str">
            <v>3+3 rz</v>
          </cell>
          <cell r="C85">
            <v>2.2810000000000001</v>
          </cell>
          <cell r="D85">
            <v>2.85</v>
          </cell>
          <cell r="E85">
            <v>2.2810000000000001</v>
          </cell>
          <cell r="F85">
            <v>3.8</v>
          </cell>
          <cell r="G85">
            <v>2.85</v>
          </cell>
          <cell r="H85">
            <v>3.8</v>
          </cell>
          <cell r="I85">
            <v>3.5150000000000001</v>
          </cell>
          <cell r="J85">
            <v>4.181</v>
          </cell>
          <cell r="K85">
            <v>3.5150000000000001</v>
          </cell>
          <cell r="L85">
            <v>4.181</v>
          </cell>
          <cell r="M85">
            <v>2.85</v>
          </cell>
          <cell r="N85">
            <v>3.8</v>
          </cell>
          <cell r="O85">
            <v>39.903999999999996</v>
          </cell>
          <cell r="Q85">
            <v>39.903999999999996</v>
          </cell>
          <cell r="R85">
            <v>19.739999999999998</v>
          </cell>
        </row>
        <row r="86">
          <cell r="B86" t="str">
            <v>4+4</v>
          </cell>
          <cell r="C86">
            <v>5.4</v>
          </cell>
          <cell r="D86">
            <v>6.75</v>
          </cell>
          <cell r="E86">
            <v>5.4</v>
          </cell>
          <cell r="F86">
            <v>9</v>
          </cell>
          <cell r="G86">
            <v>6.75</v>
          </cell>
          <cell r="H86">
            <v>9</v>
          </cell>
          <cell r="I86">
            <v>8.3249999999999993</v>
          </cell>
          <cell r="J86">
            <v>9.9</v>
          </cell>
          <cell r="K86">
            <v>8.3249999999999993</v>
          </cell>
          <cell r="L86">
            <v>9.9</v>
          </cell>
          <cell r="M86">
            <v>6.75</v>
          </cell>
          <cell r="N86">
            <v>9</v>
          </cell>
          <cell r="O86">
            <v>94.5</v>
          </cell>
          <cell r="Q86">
            <v>94.5</v>
          </cell>
          <cell r="R86">
            <v>24.8</v>
          </cell>
        </row>
        <row r="87">
          <cell r="B87" t="str">
            <v>5+5</v>
          </cell>
          <cell r="C87">
            <v>3.72</v>
          </cell>
          <cell r="D87">
            <v>4.6500000000000004</v>
          </cell>
          <cell r="E87">
            <v>3.72</v>
          </cell>
          <cell r="F87">
            <v>6.2</v>
          </cell>
          <cell r="G87">
            <v>4.6500000000000004</v>
          </cell>
          <cell r="H87">
            <v>6.2</v>
          </cell>
          <cell r="I87">
            <v>5.7350000000000003</v>
          </cell>
          <cell r="J87">
            <v>6.8209999999999997</v>
          </cell>
          <cell r="K87">
            <v>5.7350000000000003</v>
          </cell>
          <cell r="L87">
            <v>6.8209999999999997</v>
          </cell>
          <cell r="M87">
            <v>4.6500000000000004</v>
          </cell>
          <cell r="N87">
            <v>6.2</v>
          </cell>
          <cell r="O87">
            <v>65.102000000000004</v>
          </cell>
          <cell r="Q87">
            <v>65.102000000000004</v>
          </cell>
          <cell r="R87">
            <v>15</v>
          </cell>
        </row>
        <row r="88">
          <cell r="B88" t="str">
            <v>6+6</v>
          </cell>
          <cell r="C88">
            <v>0.6</v>
          </cell>
          <cell r="D88">
            <v>0.751</v>
          </cell>
          <cell r="E88">
            <v>0.6</v>
          </cell>
          <cell r="F88">
            <v>1</v>
          </cell>
          <cell r="G88">
            <v>0.751</v>
          </cell>
          <cell r="H88">
            <v>1</v>
          </cell>
          <cell r="I88">
            <v>0.92500000000000004</v>
          </cell>
          <cell r="J88">
            <v>1.1000000000000001</v>
          </cell>
          <cell r="K88">
            <v>0.92500000000000004</v>
          </cell>
          <cell r="L88">
            <v>1.1000000000000001</v>
          </cell>
          <cell r="M88">
            <v>0.751</v>
          </cell>
          <cell r="N88">
            <v>1</v>
          </cell>
          <cell r="O88">
            <v>10.503</v>
          </cell>
          <cell r="Q88">
            <v>10.503</v>
          </cell>
          <cell r="R88">
            <v>19.739999999999998</v>
          </cell>
        </row>
        <row r="89">
          <cell r="O89">
            <v>0</v>
          </cell>
          <cell r="Q89">
            <v>0</v>
          </cell>
          <cell r="R89">
            <v>24.8</v>
          </cell>
        </row>
        <row r="90">
          <cell r="O90">
            <v>0</v>
          </cell>
          <cell r="Q90">
            <v>0</v>
          </cell>
          <cell r="R90">
            <v>29.8</v>
          </cell>
        </row>
        <row r="91">
          <cell r="B91" t="str">
            <v>AYNA</v>
          </cell>
          <cell r="C91">
            <v>100</v>
          </cell>
          <cell r="D91">
            <v>195.00000000000003</v>
          </cell>
          <cell r="E91">
            <v>140.00099999999998</v>
          </cell>
          <cell r="F91">
            <v>220.00099999999998</v>
          </cell>
          <cell r="G91">
            <v>149.99900000000002</v>
          </cell>
          <cell r="H91">
            <v>230.00100000000003</v>
          </cell>
          <cell r="I91">
            <v>170</v>
          </cell>
          <cell r="J91">
            <v>234.99999999999997</v>
          </cell>
          <cell r="K91">
            <v>180.00100000000003</v>
          </cell>
          <cell r="L91">
            <v>240</v>
          </cell>
          <cell r="M91">
            <v>140.001</v>
          </cell>
          <cell r="N91">
            <v>200.00000000000003</v>
          </cell>
          <cell r="O91">
            <v>2200.0039999999999</v>
          </cell>
          <cell r="P91">
            <v>2049</v>
          </cell>
          <cell r="Q91">
            <v>2200.0039999999999</v>
          </cell>
          <cell r="R91" t="str">
            <v>KG/M2</v>
          </cell>
        </row>
        <row r="92">
          <cell r="B92" t="str">
            <v>RENKLİ 4 MM</v>
          </cell>
          <cell r="C92">
            <v>1</v>
          </cell>
          <cell r="D92">
            <v>2</v>
          </cell>
          <cell r="E92">
            <v>1.2</v>
          </cell>
          <cell r="F92">
            <v>3.1</v>
          </cell>
          <cell r="G92">
            <v>1.75</v>
          </cell>
          <cell r="H92">
            <v>2.9</v>
          </cell>
          <cell r="I92">
            <v>2</v>
          </cell>
          <cell r="J92">
            <v>3</v>
          </cell>
          <cell r="K92">
            <v>2.5</v>
          </cell>
          <cell r="L92">
            <v>2.4500000000000002</v>
          </cell>
          <cell r="M92">
            <v>1.5</v>
          </cell>
          <cell r="N92">
            <v>2.4</v>
          </cell>
          <cell r="O92">
            <v>25.8</v>
          </cell>
          <cell r="P92" t="e">
            <v>#REF!</v>
          </cell>
          <cell r="Q92">
            <v>25.8</v>
          </cell>
          <cell r="R92">
            <v>9.7100000000000009</v>
          </cell>
        </row>
        <row r="93">
          <cell r="B93" t="str">
            <v>R.SİZ 3 MM</v>
          </cell>
          <cell r="C93">
            <v>37.906999999999996</v>
          </cell>
          <cell r="D93">
            <v>73.900000000000006</v>
          </cell>
          <cell r="E93">
            <v>53.146999999999998</v>
          </cell>
          <cell r="F93">
            <v>83.051000000000002</v>
          </cell>
          <cell r="G93">
            <v>56.765000000000001</v>
          </cell>
          <cell r="H93">
            <v>86.956999999999994</v>
          </cell>
          <cell r="I93">
            <v>64.326999999999998</v>
          </cell>
          <cell r="J93">
            <v>88.832999999999998</v>
          </cell>
          <cell r="K93">
            <v>67.965000000000003</v>
          </cell>
          <cell r="L93">
            <v>90.957999999999998</v>
          </cell>
          <cell r="M93">
            <v>53.031999999999996</v>
          </cell>
          <cell r="N93">
            <v>75.661000000000001</v>
          </cell>
          <cell r="O93">
            <v>832.50299999999993</v>
          </cell>
          <cell r="P93" t="e">
            <v>#REF!</v>
          </cell>
          <cell r="Q93">
            <v>832.50299999999993</v>
          </cell>
          <cell r="R93">
            <v>7.34</v>
          </cell>
        </row>
        <row r="94">
          <cell r="B94" t="str">
            <v>R.SİZ 4 MM</v>
          </cell>
          <cell r="C94">
            <v>59.093000000000004</v>
          </cell>
          <cell r="D94">
            <v>115.202</v>
          </cell>
          <cell r="E94">
            <v>82.85</v>
          </cell>
          <cell r="F94">
            <v>129.46799999999999</v>
          </cell>
          <cell r="G94">
            <v>88.49</v>
          </cell>
          <cell r="H94">
            <v>135.55600000000001</v>
          </cell>
          <cell r="I94">
            <v>100.279</v>
          </cell>
          <cell r="J94">
            <v>138.48099999999999</v>
          </cell>
          <cell r="K94">
            <v>105.95</v>
          </cell>
          <cell r="L94">
            <v>141.79400000000001</v>
          </cell>
          <cell r="M94">
            <v>82.671000000000006</v>
          </cell>
          <cell r="N94">
            <v>117.947</v>
          </cell>
          <cell r="O94">
            <v>1297.7809999999999</v>
          </cell>
          <cell r="P94" t="e">
            <v>#REF!</v>
          </cell>
          <cell r="Q94">
            <v>1297.7809999999999</v>
          </cell>
          <cell r="R94">
            <v>9.7100000000000009</v>
          </cell>
        </row>
        <row r="95">
          <cell r="B95" t="str">
            <v>R.SİZ 5 MM</v>
          </cell>
          <cell r="C95">
            <v>1</v>
          </cell>
          <cell r="D95">
            <v>1.9490000000000001</v>
          </cell>
          <cell r="E95">
            <v>1.4019999999999999</v>
          </cell>
          <cell r="F95">
            <v>2.1909999999999998</v>
          </cell>
          <cell r="G95">
            <v>1.4970000000000001</v>
          </cell>
          <cell r="H95">
            <v>2.294</v>
          </cell>
          <cell r="I95">
            <v>1.6970000000000001</v>
          </cell>
          <cell r="J95">
            <v>2.343</v>
          </cell>
          <cell r="K95">
            <v>1.7929999999999999</v>
          </cell>
          <cell r="L95">
            <v>2.399</v>
          </cell>
          <cell r="M95">
            <v>1.399</v>
          </cell>
          <cell r="N95">
            <v>1.996</v>
          </cell>
          <cell r="O95">
            <v>21.96</v>
          </cell>
          <cell r="P95" t="e">
            <v>#REF!</v>
          </cell>
          <cell r="Q95">
            <v>21.96</v>
          </cell>
          <cell r="R95">
            <v>12.24</v>
          </cell>
        </row>
        <row r="99">
          <cell r="Q99">
            <v>0</v>
          </cell>
        </row>
        <row r="100">
          <cell r="B100" t="str">
            <v xml:space="preserve"> (TON)</v>
          </cell>
          <cell r="C100" t="str">
            <v>OCAK</v>
          </cell>
          <cell r="D100" t="str">
            <v>SUBAT</v>
          </cell>
          <cell r="E100" t="str">
            <v>MART</v>
          </cell>
          <cell r="F100" t="str">
            <v>NISAN</v>
          </cell>
          <cell r="G100" t="str">
            <v>MAYIS</v>
          </cell>
          <cell r="H100" t="str">
            <v>HAZIRAN</v>
          </cell>
          <cell r="I100" t="str">
            <v>TEMMUZ</v>
          </cell>
          <cell r="J100" t="str">
            <v>AGUSTOS</v>
          </cell>
          <cell r="K100" t="str">
            <v>EYLUL</v>
          </cell>
          <cell r="L100" t="str">
            <v>EKIM</v>
          </cell>
          <cell r="M100" t="str">
            <v>KASIM</v>
          </cell>
          <cell r="N100" t="str">
            <v>ARALIK</v>
          </cell>
          <cell r="O100" t="str">
            <v>TOPLAM</v>
          </cell>
        </row>
        <row r="101">
          <cell r="B101" t="str">
            <v xml:space="preserve"> 2 MM</v>
          </cell>
          <cell r="O101">
            <v>0</v>
          </cell>
          <cell r="Q101">
            <v>0</v>
          </cell>
        </row>
        <row r="102">
          <cell r="B102" t="str">
            <v xml:space="preserve"> 2.2 MM</v>
          </cell>
          <cell r="O102">
            <v>0</v>
          </cell>
          <cell r="Q102">
            <v>0</v>
          </cell>
        </row>
        <row r="103">
          <cell r="B103" t="str">
            <v xml:space="preserve"> 2.5 MM</v>
          </cell>
          <cell r="O103">
            <v>0</v>
          </cell>
          <cell r="Q103">
            <v>0</v>
          </cell>
        </row>
        <row r="104">
          <cell r="B104" t="str">
            <v xml:space="preserve"> 3 MM</v>
          </cell>
          <cell r="C104">
            <v>575</v>
          </cell>
          <cell r="D104">
            <v>614</v>
          </cell>
          <cell r="E104">
            <v>871</v>
          </cell>
          <cell r="F104">
            <v>991</v>
          </cell>
          <cell r="G104">
            <v>911</v>
          </cell>
          <cell r="H104">
            <v>1188</v>
          </cell>
          <cell r="I104">
            <v>723</v>
          </cell>
          <cell r="J104">
            <v>882</v>
          </cell>
          <cell r="K104">
            <v>723</v>
          </cell>
          <cell r="L104">
            <v>922</v>
          </cell>
          <cell r="M104">
            <v>803</v>
          </cell>
          <cell r="N104">
            <v>922</v>
          </cell>
          <cell r="O104">
            <v>10125</v>
          </cell>
          <cell r="Q104">
            <v>10125</v>
          </cell>
        </row>
        <row r="105">
          <cell r="B105" t="str">
            <v xml:space="preserve"> 3.2 MM</v>
          </cell>
          <cell r="C105">
            <v>11</v>
          </cell>
          <cell r="D105">
            <v>12</v>
          </cell>
          <cell r="E105">
            <v>19</v>
          </cell>
          <cell r="F105">
            <v>21</v>
          </cell>
          <cell r="G105">
            <v>19</v>
          </cell>
          <cell r="H105">
            <v>25</v>
          </cell>
          <cell r="I105">
            <v>12</v>
          </cell>
          <cell r="J105">
            <v>16</v>
          </cell>
          <cell r="K105">
            <v>12</v>
          </cell>
          <cell r="L105">
            <v>17</v>
          </cell>
          <cell r="M105">
            <v>14</v>
          </cell>
          <cell r="N105">
            <v>17</v>
          </cell>
          <cell r="O105">
            <v>195</v>
          </cell>
          <cell r="Q105">
            <v>195</v>
          </cell>
        </row>
        <row r="106">
          <cell r="B106" t="str">
            <v xml:space="preserve"> 3.5 MM</v>
          </cell>
          <cell r="O106">
            <v>0</v>
          </cell>
          <cell r="Q106">
            <v>0</v>
          </cell>
        </row>
        <row r="107">
          <cell r="B107" t="str">
            <v xml:space="preserve"> 4 MM</v>
          </cell>
          <cell r="C107">
            <v>6319</v>
          </cell>
          <cell r="D107">
            <v>6753</v>
          </cell>
          <cell r="E107">
            <v>9577</v>
          </cell>
          <cell r="F107">
            <v>10883</v>
          </cell>
          <cell r="G107">
            <v>10014</v>
          </cell>
          <cell r="H107">
            <v>13060</v>
          </cell>
          <cell r="I107">
            <v>7961</v>
          </cell>
          <cell r="J107">
            <v>9702</v>
          </cell>
          <cell r="K107">
            <v>7961</v>
          </cell>
          <cell r="L107">
            <v>10138</v>
          </cell>
          <cell r="M107">
            <v>8831</v>
          </cell>
          <cell r="N107">
            <v>10133</v>
          </cell>
          <cell r="O107">
            <v>111332</v>
          </cell>
          <cell r="Q107">
            <v>111332</v>
          </cell>
        </row>
        <row r="108">
          <cell r="B108" t="str">
            <v xml:space="preserve"> 4.15 MM</v>
          </cell>
          <cell r="O108">
            <v>0</v>
          </cell>
          <cell r="Q108">
            <v>0</v>
          </cell>
        </row>
        <row r="109">
          <cell r="B109" t="str">
            <v xml:space="preserve"> 5 MM</v>
          </cell>
          <cell r="C109">
            <v>389</v>
          </cell>
          <cell r="D109">
            <v>414</v>
          </cell>
          <cell r="E109">
            <v>588</v>
          </cell>
          <cell r="F109">
            <v>668</v>
          </cell>
          <cell r="G109">
            <v>615</v>
          </cell>
          <cell r="H109">
            <v>802</v>
          </cell>
          <cell r="I109">
            <v>488</v>
          </cell>
          <cell r="J109">
            <v>595</v>
          </cell>
          <cell r="K109">
            <v>488</v>
          </cell>
          <cell r="L109">
            <v>622</v>
          </cell>
          <cell r="M109">
            <v>541</v>
          </cell>
          <cell r="N109">
            <v>621</v>
          </cell>
          <cell r="O109">
            <v>6831</v>
          </cell>
          <cell r="Q109">
            <v>6831</v>
          </cell>
        </row>
        <row r="110">
          <cell r="B110" t="str">
            <v xml:space="preserve"> 6 MM</v>
          </cell>
          <cell r="C110">
            <v>757</v>
          </cell>
          <cell r="D110">
            <v>807</v>
          </cell>
          <cell r="E110">
            <v>1108</v>
          </cell>
          <cell r="F110">
            <v>1259</v>
          </cell>
          <cell r="G110">
            <v>1158</v>
          </cell>
          <cell r="H110">
            <v>1511</v>
          </cell>
          <cell r="I110">
            <v>987</v>
          </cell>
          <cell r="J110">
            <v>1188</v>
          </cell>
          <cell r="K110">
            <v>987</v>
          </cell>
          <cell r="L110">
            <v>1238</v>
          </cell>
          <cell r="M110">
            <v>1087</v>
          </cell>
          <cell r="N110">
            <v>1237</v>
          </cell>
          <cell r="O110">
            <v>13324</v>
          </cell>
          <cell r="Q110">
            <v>13324</v>
          </cell>
        </row>
        <row r="111">
          <cell r="B111" t="str">
            <v xml:space="preserve"> 8 MM</v>
          </cell>
          <cell r="C111">
            <v>227</v>
          </cell>
          <cell r="D111">
            <v>243</v>
          </cell>
          <cell r="E111">
            <v>331</v>
          </cell>
          <cell r="F111">
            <v>376</v>
          </cell>
          <cell r="G111">
            <v>346</v>
          </cell>
          <cell r="H111">
            <v>451</v>
          </cell>
          <cell r="I111">
            <v>298</v>
          </cell>
          <cell r="J111">
            <v>358</v>
          </cell>
          <cell r="K111">
            <v>298</v>
          </cell>
          <cell r="L111">
            <v>373</v>
          </cell>
          <cell r="M111">
            <v>328</v>
          </cell>
          <cell r="N111">
            <v>374</v>
          </cell>
          <cell r="O111">
            <v>4003</v>
          </cell>
          <cell r="Q111">
            <v>4003</v>
          </cell>
        </row>
        <row r="112">
          <cell r="B112" t="str">
            <v>10 MM</v>
          </cell>
          <cell r="C112">
            <v>227</v>
          </cell>
          <cell r="D112">
            <v>243</v>
          </cell>
          <cell r="E112">
            <v>331</v>
          </cell>
          <cell r="F112">
            <v>376</v>
          </cell>
          <cell r="G112">
            <v>346</v>
          </cell>
          <cell r="H112">
            <v>451</v>
          </cell>
          <cell r="I112">
            <v>298</v>
          </cell>
          <cell r="J112">
            <v>358</v>
          </cell>
          <cell r="K112">
            <v>298</v>
          </cell>
          <cell r="L112">
            <v>373</v>
          </cell>
          <cell r="M112">
            <v>328</v>
          </cell>
          <cell r="N112">
            <v>374</v>
          </cell>
          <cell r="O112">
            <v>4003</v>
          </cell>
          <cell r="Q112">
            <v>4003</v>
          </cell>
        </row>
        <row r="113">
          <cell r="B113" t="str">
            <v>12 MM</v>
          </cell>
          <cell r="C113">
            <v>28</v>
          </cell>
          <cell r="D113">
            <v>30</v>
          </cell>
          <cell r="E113">
            <v>48</v>
          </cell>
          <cell r="F113">
            <v>54</v>
          </cell>
          <cell r="G113">
            <v>50</v>
          </cell>
          <cell r="H113">
            <v>65</v>
          </cell>
          <cell r="I113">
            <v>32</v>
          </cell>
          <cell r="J113">
            <v>40</v>
          </cell>
          <cell r="K113">
            <v>32</v>
          </cell>
          <cell r="L113">
            <v>43</v>
          </cell>
          <cell r="M113">
            <v>36</v>
          </cell>
          <cell r="N113">
            <v>43</v>
          </cell>
          <cell r="O113">
            <v>501</v>
          </cell>
          <cell r="Q113">
            <v>501</v>
          </cell>
        </row>
        <row r="114">
          <cell r="B114" t="str">
            <v>SERCAM</v>
          </cell>
          <cell r="C114">
            <v>15</v>
          </cell>
          <cell r="D114">
            <v>30</v>
          </cell>
          <cell r="E114">
            <v>15</v>
          </cell>
          <cell r="F114">
            <v>15</v>
          </cell>
          <cell r="G114">
            <v>45</v>
          </cell>
          <cell r="H114">
            <v>215</v>
          </cell>
          <cell r="I114">
            <v>45</v>
          </cell>
          <cell r="J114">
            <v>45</v>
          </cell>
          <cell r="K114">
            <v>205</v>
          </cell>
          <cell r="L114">
            <v>90</v>
          </cell>
          <cell r="M114">
            <v>15</v>
          </cell>
          <cell r="N114">
            <v>15</v>
          </cell>
          <cell r="O114">
            <v>750</v>
          </cell>
          <cell r="P114">
            <v>4294</v>
          </cell>
          <cell r="Q114">
            <v>750</v>
          </cell>
        </row>
        <row r="118">
          <cell r="B118" t="str">
            <v xml:space="preserve"> 2.2 MM</v>
          </cell>
          <cell r="C118">
            <v>80</v>
          </cell>
          <cell r="D118">
            <v>84</v>
          </cell>
          <cell r="E118">
            <v>98</v>
          </cell>
          <cell r="F118">
            <v>111</v>
          </cell>
          <cell r="G118">
            <v>102</v>
          </cell>
          <cell r="H118">
            <v>133</v>
          </cell>
          <cell r="I118">
            <v>120</v>
          </cell>
          <cell r="J118">
            <v>138</v>
          </cell>
          <cell r="K118">
            <v>120</v>
          </cell>
          <cell r="L118">
            <v>142</v>
          </cell>
          <cell r="M118">
            <v>129</v>
          </cell>
          <cell r="N118">
            <v>142</v>
          </cell>
          <cell r="O118">
            <v>1399</v>
          </cell>
          <cell r="Q118">
            <v>1399</v>
          </cell>
        </row>
        <row r="119">
          <cell r="B119" t="str">
            <v xml:space="preserve"> 2.5 MM</v>
          </cell>
          <cell r="C119">
            <v>29</v>
          </cell>
          <cell r="D119">
            <v>30</v>
          </cell>
          <cell r="E119">
            <v>35</v>
          </cell>
          <cell r="F119">
            <v>40</v>
          </cell>
          <cell r="G119">
            <v>37</v>
          </cell>
          <cell r="H119">
            <v>48</v>
          </cell>
          <cell r="I119">
            <v>43</v>
          </cell>
          <cell r="J119">
            <v>49</v>
          </cell>
          <cell r="K119">
            <v>43</v>
          </cell>
          <cell r="L119">
            <v>51</v>
          </cell>
          <cell r="M119">
            <v>46</v>
          </cell>
          <cell r="N119">
            <v>51</v>
          </cell>
          <cell r="O119">
            <v>502</v>
          </cell>
          <cell r="Q119">
            <v>502</v>
          </cell>
        </row>
        <row r="120">
          <cell r="B120" t="str">
            <v xml:space="preserve"> 3 MM</v>
          </cell>
          <cell r="C120">
            <v>35</v>
          </cell>
          <cell r="D120">
            <v>36</v>
          </cell>
          <cell r="E120">
            <v>42</v>
          </cell>
          <cell r="F120">
            <v>48</v>
          </cell>
          <cell r="G120">
            <v>44</v>
          </cell>
          <cell r="H120">
            <v>58</v>
          </cell>
          <cell r="I120">
            <v>52</v>
          </cell>
          <cell r="J120">
            <v>59</v>
          </cell>
          <cell r="K120">
            <v>52</v>
          </cell>
          <cell r="L120">
            <v>61</v>
          </cell>
          <cell r="M120">
            <v>55</v>
          </cell>
          <cell r="N120">
            <v>61</v>
          </cell>
          <cell r="O120">
            <v>603</v>
          </cell>
          <cell r="Q120">
            <v>603</v>
          </cell>
        </row>
        <row r="121">
          <cell r="B121" t="str">
            <v xml:space="preserve"> 3.2 MM</v>
          </cell>
          <cell r="C121">
            <v>143</v>
          </cell>
          <cell r="D121">
            <v>151</v>
          </cell>
          <cell r="E121">
            <v>174</v>
          </cell>
          <cell r="F121">
            <v>199</v>
          </cell>
          <cell r="G121">
            <v>183</v>
          </cell>
          <cell r="H121">
            <v>238</v>
          </cell>
          <cell r="I121">
            <v>214</v>
          </cell>
          <cell r="J121">
            <v>246</v>
          </cell>
          <cell r="K121">
            <v>214</v>
          </cell>
          <cell r="L121">
            <v>254</v>
          </cell>
          <cell r="M121">
            <v>230</v>
          </cell>
          <cell r="N121">
            <v>254</v>
          </cell>
          <cell r="O121">
            <v>2500</v>
          </cell>
          <cell r="Q121">
            <v>2500</v>
          </cell>
        </row>
        <row r="122">
          <cell r="B122" t="str">
            <v xml:space="preserve"> 3.5 MM</v>
          </cell>
          <cell r="C122">
            <v>29</v>
          </cell>
          <cell r="D122">
            <v>30</v>
          </cell>
          <cell r="E122">
            <v>34</v>
          </cell>
          <cell r="F122">
            <v>40</v>
          </cell>
          <cell r="G122">
            <v>37</v>
          </cell>
          <cell r="H122">
            <v>48</v>
          </cell>
          <cell r="I122">
            <v>43</v>
          </cell>
          <cell r="J122">
            <v>49</v>
          </cell>
          <cell r="K122">
            <v>43</v>
          </cell>
          <cell r="L122">
            <v>51</v>
          </cell>
          <cell r="M122">
            <v>46</v>
          </cell>
          <cell r="N122">
            <v>51</v>
          </cell>
          <cell r="O122">
            <v>501</v>
          </cell>
          <cell r="Q122">
            <v>501</v>
          </cell>
        </row>
        <row r="123">
          <cell r="B123" t="str">
            <v xml:space="preserve"> 4 MM</v>
          </cell>
          <cell r="C123">
            <v>69</v>
          </cell>
          <cell r="D123">
            <v>72</v>
          </cell>
          <cell r="E123">
            <v>83</v>
          </cell>
          <cell r="F123">
            <v>95</v>
          </cell>
          <cell r="G123">
            <v>87</v>
          </cell>
          <cell r="H123">
            <v>114</v>
          </cell>
          <cell r="I123">
            <v>103</v>
          </cell>
          <cell r="J123">
            <v>119</v>
          </cell>
          <cell r="K123">
            <v>103</v>
          </cell>
          <cell r="L123">
            <v>121</v>
          </cell>
          <cell r="M123">
            <v>110</v>
          </cell>
          <cell r="N123">
            <v>122</v>
          </cell>
          <cell r="O123">
            <v>1198</v>
          </cell>
          <cell r="Q123">
            <v>1198</v>
          </cell>
        </row>
        <row r="124">
          <cell r="B124" t="str">
            <v xml:space="preserve"> 5 MM</v>
          </cell>
          <cell r="C124">
            <v>40</v>
          </cell>
          <cell r="D124">
            <v>42</v>
          </cell>
          <cell r="E124">
            <v>49</v>
          </cell>
          <cell r="F124">
            <v>56</v>
          </cell>
          <cell r="G124">
            <v>51</v>
          </cell>
          <cell r="H124">
            <v>67</v>
          </cell>
          <cell r="I124">
            <v>60</v>
          </cell>
          <cell r="J124">
            <v>69</v>
          </cell>
          <cell r="K124">
            <v>60</v>
          </cell>
          <cell r="L124">
            <v>71</v>
          </cell>
          <cell r="M124">
            <v>64</v>
          </cell>
          <cell r="N124">
            <v>71</v>
          </cell>
          <cell r="O124">
            <v>700</v>
          </cell>
          <cell r="Q124">
            <v>700</v>
          </cell>
        </row>
        <row r="125">
          <cell r="B125" t="str">
            <v xml:space="preserve"> 5,5 MM</v>
          </cell>
          <cell r="O125">
            <v>0</v>
          </cell>
          <cell r="Q125">
            <v>0</v>
          </cell>
        </row>
        <row r="126">
          <cell r="B126" t="str">
            <v xml:space="preserve"> 6 MM</v>
          </cell>
          <cell r="C126">
            <v>35</v>
          </cell>
          <cell r="D126">
            <v>36</v>
          </cell>
          <cell r="E126">
            <v>41</v>
          </cell>
          <cell r="F126">
            <v>48</v>
          </cell>
          <cell r="G126">
            <v>44</v>
          </cell>
          <cell r="H126">
            <v>58</v>
          </cell>
          <cell r="I126">
            <v>52</v>
          </cell>
          <cell r="J126">
            <v>59</v>
          </cell>
          <cell r="K126">
            <v>52</v>
          </cell>
          <cell r="L126">
            <v>61</v>
          </cell>
          <cell r="M126">
            <v>56</v>
          </cell>
          <cell r="N126">
            <v>61</v>
          </cell>
          <cell r="O126">
            <v>603</v>
          </cell>
          <cell r="Q126">
            <v>603</v>
          </cell>
        </row>
        <row r="127">
          <cell r="B127" t="str">
            <v xml:space="preserve"> 8 MM</v>
          </cell>
          <cell r="O127">
            <v>0</v>
          </cell>
          <cell r="Q127">
            <v>0</v>
          </cell>
        </row>
        <row r="128">
          <cell r="B128" t="str">
            <v>YANSITICI</v>
          </cell>
          <cell r="C128">
            <v>69</v>
          </cell>
          <cell r="D128">
            <v>72</v>
          </cell>
          <cell r="E128">
            <v>84</v>
          </cell>
          <cell r="F128">
            <v>96</v>
          </cell>
          <cell r="G128">
            <v>89</v>
          </cell>
          <cell r="H128">
            <v>116</v>
          </cell>
          <cell r="I128">
            <v>104</v>
          </cell>
          <cell r="J128">
            <v>119</v>
          </cell>
          <cell r="K128">
            <v>104</v>
          </cell>
          <cell r="L128">
            <v>121</v>
          </cell>
          <cell r="M128">
            <v>110</v>
          </cell>
          <cell r="N128">
            <v>123</v>
          </cell>
          <cell r="O128">
            <v>1207</v>
          </cell>
          <cell r="P128">
            <v>1142</v>
          </cell>
          <cell r="Q128">
            <v>1207</v>
          </cell>
        </row>
        <row r="129">
          <cell r="B129" t="str">
            <v xml:space="preserve"> 4 MM</v>
          </cell>
          <cell r="C129">
            <v>46</v>
          </cell>
          <cell r="D129">
            <v>48</v>
          </cell>
          <cell r="E129">
            <v>56</v>
          </cell>
          <cell r="F129">
            <v>64</v>
          </cell>
          <cell r="G129">
            <v>59</v>
          </cell>
          <cell r="H129">
            <v>77</v>
          </cell>
          <cell r="I129">
            <v>69</v>
          </cell>
          <cell r="J129">
            <v>79</v>
          </cell>
          <cell r="K129">
            <v>69</v>
          </cell>
          <cell r="L129">
            <v>81</v>
          </cell>
          <cell r="M129">
            <v>74</v>
          </cell>
          <cell r="N129">
            <v>82</v>
          </cell>
          <cell r="O129">
            <v>804</v>
          </cell>
          <cell r="Q129">
            <v>804</v>
          </cell>
        </row>
        <row r="130">
          <cell r="B130" t="str">
            <v xml:space="preserve"> 5 MM</v>
          </cell>
          <cell r="O130">
            <v>0</v>
          </cell>
          <cell r="Q130">
            <v>0</v>
          </cell>
        </row>
        <row r="131">
          <cell r="B131" t="str">
            <v xml:space="preserve"> 6 MM</v>
          </cell>
          <cell r="C131">
            <v>23</v>
          </cell>
          <cell r="D131">
            <v>24</v>
          </cell>
          <cell r="E131">
            <v>28</v>
          </cell>
          <cell r="F131">
            <v>32</v>
          </cell>
          <cell r="G131">
            <v>30</v>
          </cell>
          <cell r="H131">
            <v>39</v>
          </cell>
          <cell r="I131">
            <v>35</v>
          </cell>
          <cell r="J131">
            <v>40</v>
          </cell>
          <cell r="K131">
            <v>35</v>
          </cell>
          <cell r="L131">
            <v>40</v>
          </cell>
          <cell r="M131">
            <v>36</v>
          </cell>
          <cell r="N131">
            <v>41</v>
          </cell>
          <cell r="O131">
            <v>403</v>
          </cell>
          <cell r="Q131">
            <v>403</v>
          </cell>
        </row>
        <row r="132">
          <cell r="B132" t="str">
            <v>TOPL.DÜZCAM</v>
          </cell>
          <cell r="C132">
            <v>9077</v>
          </cell>
          <cell r="D132">
            <v>9699</v>
          </cell>
          <cell r="E132">
            <v>13528</v>
          </cell>
          <cell r="F132">
            <v>15376</v>
          </cell>
          <cell r="G132">
            <v>14178</v>
          </cell>
          <cell r="H132">
            <v>18648</v>
          </cell>
          <cell r="I132">
            <v>11635</v>
          </cell>
          <cell r="J132">
            <v>14091</v>
          </cell>
          <cell r="K132">
            <v>11795</v>
          </cell>
          <cell r="L132">
            <v>14749</v>
          </cell>
          <cell r="M132">
            <v>12829</v>
          </cell>
          <cell r="N132">
            <v>14672</v>
          </cell>
          <cell r="O132">
            <v>160277</v>
          </cell>
          <cell r="P132">
            <v>167311</v>
          </cell>
          <cell r="Q132">
            <v>160277</v>
          </cell>
        </row>
        <row r="133">
          <cell r="B133" t="str">
            <v>LAMİNE</v>
          </cell>
          <cell r="C133">
            <v>248</v>
          </cell>
          <cell r="D133">
            <v>313</v>
          </cell>
          <cell r="E133">
            <v>248</v>
          </cell>
          <cell r="F133">
            <v>417</v>
          </cell>
          <cell r="G133">
            <v>313</v>
          </cell>
          <cell r="H133">
            <v>417</v>
          </cell>
          <cell r="I133">
            <v>387</v>
          </cell>
          <cell r="J133">
            <v>460</v>
          </cell>
          <cell r="K133">
            <v>387</v>
          </cell>
          <cell r="L133">
            <v>460</v>
          </cell>
          <cell r="M133">
            <v>313</v>
          </cell>
          <cell r="N133">
            <v>417</v>
          </cell>
          <cell r="O133">
            <v>4380</v>
          </cell>
          <cell r="P133">
            <v>4396</v>
          </cell>
          <cell r="Q133">
            <v>4380</v>
          </cell>
        </row>
        <row r="134">
          <cell r="B134" t="str">
            <v>3+3 rz</v>
          </cell>
          <cell r="C134">
            <v>34</v>
          </cell>
          <cell r="D134">
            <v>42</v>
          </cell>
          <cell r="E134">
            <v>34</v>
          </cell>
          <cell r="F134">
            <v>57</v>
          </cell>
          <cell r="G134">
            <v>42</v>
          </cell>
          <cell r="H134">
            <v>57</v>
          </cell>
          <cell r="I134">
            <v>53</v>
          </cell>
          <cell r="J134">
            <v>62</v>
          </cell>
          <cell r="K134">
            <v>53</v>
          </cell>
          <cell r="L134">
            <v>62</v>
          </cell>
          <cell r="M134">
            <v>42</v>
          </cell>
          <cell r="N134">
            <v>57</v>
          </cell>
          <cell r="O134">
            <v>595</v>
          </cell>
          <cell r="Q134">
            <v>595</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00000"/>
      <sheetName val="SATIŞ"/>
      <sheetName val="ÜRETİM "/>
      <sheetName val="GİDER"/>
      <sheetName val="HAMMADDE"/>
      <sheetName val="YRD .MADDE"/>
      <sheetName val="AMBALAJ"/>
      <sheetName val="Y.ELEKTRİK"/>
      <sheetName val="FİNANS GİD."/>
      <sheetName val="SATIŞ GİD."/>
      <sheetName val="SATGİDDET"/>
      <sheetName val="STOK"/>
      <sheetName val="STOK MTL"/>
      <sheetName val="urun hareket"/>
      <sheetName val="renkliurhar"/>
      <sheetName val="giriş-çıkış"/>
      <sheetName val="K&amp;Z"/>
      <sheetName val="KZ SATIŞ GİD."/>
      <sheetName val="SAT.İSKONT."/>
      <sheetName val="CF"/>
      <sheetName val="GELİR-GİDER"/>
      <sheetName val="GENEL DURUM"/>
      <sheetName val="ÜRETİM_"/>
      <sheetName val="YRD__MADDE"/>
      <sheetName val="Y_ELEKTRİK"/>
      <sheetName val="FİNANS_GİD_"/>
      <sheetName val="SATIŞ_GİD_"/>
      <sheetName val="STOK_MTL"/>
      <sheetName val="urun_hareket"/>
      <sheetName val="KZ_SATIŞ_GİD_"/>
      <sheetName val="SAT_İSKONT_"/>
      <sheetName val="GENEL_DURUM"/>
      <sheetName val="ÜRETİM_1"/>
      <sheetName val="YRD__MADDE1"/>
      <sheetName val="Y_ELEKTRİK1"/>
      <sheetName val="FİNANS_GİD_1"/>
      <sheetName val="SATIŞ_GİD_1"/>
      <sheetName val="STOK_MTL1"/>
      <sheetName val="urun_hareket1"/>
      <sheetName val="KZ_SATIŞ_GİD_1"/>
      <sheetName val="SAT_İSKONT_1"/>
      <sheetName val="GENEL_DURUM1"/>
      <sheetName val="ÜRETİM_2"/>
      <sheetName val="YRD__MADDE2"/>
      <sheetName val="Y_ELEKTRİK2"/>
      <sheetName val="FİNANS_GİD_2"/>
      <sheetName val="SATIŞ_GİD_2"/>
      <sheetName val="STOK_MTL2"/>
      <sheetName val="urun_hareket2"/>
      <sheetName val="KZ_SATIŞ_GİD_2"/>
      <sheetName val="SAT_İSKONT_2"/>
      <sheetName val="GENEL_DURUM2"/>
      <sheetName val="Standing Data Sheet"/>
    </sheetNames>
    <sheetDataSet>
      <sheetData sheetId="0"/>
      <sheetData sheetId="1" refreshError="1">
        <row r="3">
          <cell r="B3" t="str">
            <v>REVİZE</v>
          </cell>
          <cell r="E3" t="str">
            <v>2002  YILI  TOPLULUK İÇİ (CK+Cİ ) SATIS PROGRAMI</v>
          </cell>
        </row>
        <row r="4">
          <cell r="P4">
            <v>2001</v>
          </cell>
          <cell r="Q4" t="str">
            <v>BİRİKİMLİ</v>
          </cell>
        </row>
        <row r="5">
          <cell r="B5" t="str">
            <v xml:space="preserve">  (000M2)</v>
          </cell>
          <cell r="C5" t="str">
            <v>OCAK</v>
          </cell>
          <cell r="D5" t="str">
            <v>SUBAT</v>
          </cell>
          <cell r="E5" t="str">
            <v>MART</v>
          </cell>
          <cell r="F5" t="str">
            <v>NISAN</v>
          </cell>
          <cell r="G5" t="str">
            <v>MAYIS</v>
          </cell>
          <cell r="H5" t="str">
            <v>HAZIRAN</v>
          </cell>
          <cell r="I5" t="str">
            <v>TEMMUZ</v>
          </cell>
          <cell r="J5" t="str">
            <v>AGUSTOS</v>
          </cell>
          <cell r="K5" t="str">
            <v>EYLUL</v>
          </cell>
          <cell r="L5" t="str">
            <v>EKIM</v>
          </cell>
          <cell r="M5" t="str">
            <v>KASIM</v>
          </cell>
          <cell r="N5" t="str">
            <v>ARALIK</v>
          </cell>
          <cell r="O5" t="str">
            <v>TOPLAM</v>
          </cell>
          <cell r="P5" t="str">
            <v>BEKLENEN</v>
          </cell>
        </row>
        <row r="6">
          <cell r="B6" t="str">
            <v xml:space="preserve"> 3 MM</v>
          </cell>
          <cell r="C6">
            <v>16.414000000000001</v>
          </cell>
          <cell r="D6">
            <v>15.034000000000001</v>
          </cell>
          <cell r="E6">
            <v>19.448</v>
          </cell>
          <cell r="F6">
            <v>18.759</v>
          </cell>
          <cell r="G6">
            <v>18.483000000000001</v>
          </cell>
          <cell r="H6">
            <v>20.276</v>
          </cell>
          <cell r="I6">
            <v>16</v>
          </cell>
          <cell r="J6">
            <v>18.759</v>
          </cell>
          <cell r="K6">
            <v>18.207000000000001</v>
          </cell>
          <cell r="L6">
            <v>17.792999999999999</v>
          </cell>
          <cell r="M6">
            <v>19.172000000000001</v>
          </cell>
          <cell r="N6">
            <v>16.827000000000002</v>
          </cell>
          <cell r="O6">
            <v>215.172</v>
          </cell>
          <cell r="Q6">
            <v>215.172</v>
          </cell>
        </row>
        <row r="7">
          <cell r="B7" t="str">
            <v xml:space="preserve"> 4 MM</v>
          </cell>
          <cell r="C7">
            <v>51.558999999999997</v>
          </cell>
          <cell r="D7">
            <v>47.505000000000003</v>
          </cell>
          <cell r="E7">
            <v>69.334999999999994</v>
          </cell>
          <cell r="F7">
            <v>81.704999999999998</v>
          </cell>
          <cell r="G7">
            <v>74.22</v>
          </cell>
          <cell r="H7">
            <v>70.894000000000005</v>
          </cell>
          <cell r="I7">
            <v>78.897999999999996</v>
          </cell>
          <cell r="J7">
            <v>79.834000000000003</v>
          </cell>
          <cell r="K7">
            <v>85.343000000000004</v>
          </cell>
          <cell r="L7">
            <v>83.055999999999997</v>
          </cell>
          <cell r="M7">
            <v>78.793999999999997</v>
          </cell>
          <cell r="N7">
            <v>75.884</v>
          </cell>
          <cell r="O7">
            <v>877.02700000000004</v>
          </cell>
          <cell r="Q7">
            <v>877.02700000000004</v>
          </cell>
        </row>
        <row r="8">
          <cell r="B8" t="str">
            <v xml:space="preserve"> 5 MM</v>
          </cell>
          <cell r="C8">
            <v>9.1359999999999992</v>
          </cell>
          <cell r="D8">
            <v>11.276</v>
          </cell>
          <cell r="E8">
            <v>15.967000000000001</v>
          </cell>
          <cell r="F8">
            <v>15.638</v>
          </cell>
          <cell r="G8">
            <v>17.613</v>
          </cell>
          <cell r="H8">
            <v>10.041</v>
          </cell>
          <cell r="I8">
            <v>8.8070000000000004</v>
          </cell>
          <cell r="J8">
            <v>17.283999999999999</v>
          </cell>
          <cell r="K8">
            <v>15.391</v>
          </cell>
          <cell r="L8">
            <v>15.391</v>
          </cell>
          <cell r="M8">
            <v>15.638</v>
          </cell>
          <cell r="N8">
            <v>14.814</v>
          </cell>
          <cell r="O8">
            <v>166.99600000000001</v>
          </cell>
          <cell r="Q8">
            <v>166.99600000000001</v>
          </cell>
        </row>
        <row r="9">
          <cell r="B9" t="str">
            <v xml:space="preserve"> 6 MM</v>
          </cell>
          <cell r="C9">
            <v>7.3040000000000003</v>
          </cell>
          <cell r="D9">
            <v>8.0549999999999997</v>
          </cell>
          <cell r="E9">
            <v>10.648</v>
          </cell>
          <cell r="F9">
            <v>14.471</v>
          </cell>
          <cell r="G9">
            <v>14.13</v>
          </cell>
          <cell r="H9">
            <v>11.331</v>
          </cell>
          <cell r="I9">
            <v>10.102</v>
          </cell>
          <cell r="J9">
            <v>12.218</v>
          </cell>
          <cell r="K9">
            <v>14.061</v>
          </cell>
          <cell r="L9">
            <v>12.833</v>
          </cell>
          <cell r="M9">
            <v>12.287000000000001</v>
          </cell>
          <cell r="N9">
            <v>9.7609999999999992</v>
          </cell>
          <cell r="O9">
            <v>137.20099999999999</v>
          </cell>
          <cell r="Q9">
            <v>137.20099999999999</v>
          </cell>
        </row>
        <row r="10">
          <cell r="B10" t="str">
            <v xml:space="preserve"> 8 MM</v>
          </cell>
          <cell r="C10">
            <v>5</v>
          </cell>
          <cell r="D10">
            <v>5.5609999999999999</v>
          </cell>
          <cell r="E10">
            <v>6.4290000000000003</v>
          </cell>
          <cell r="F10">
            <v>7.194</v>
          </cell>
          <cell r="G10">
            <v>8.2650000000000006</v>
          </cell>
          <cell r="H10">
            <v>5</v>
          </cell>
          <cell r="I10">
            <v>3.7759999999999998</v>
          </cell>
          <cell r="J10">
            <v>5.51</v>
          </cell>
          <cell r="K10">
            <v>5.7140000000000004</v>
          </cell>
          <cell r="L10">
            <v>6.4290000000000003</v>
          </cell>
          <cell r="M10">
            <v>6.4290000000000003</v>
          </cell>
          <cell r="N10">
            <v>6.9379999999999997</v>
          </cell>
          <cell r="O10">
            <v>72.24499999999999</v>
          </cell>
          <cell r="Q10">
            <v>72.24499999999999</v>
          </cell>
        </row>
        <row r="11">
          <cell r="B11" t="str">
            <v>10 MM</v>
          </cell>
          <cell r="C11">
            <v>2.073</v>
          </cell>
          <cell r="D11">
            <v>1.3819999999999999</v>
          </cell>
          <cell r="E11">
            <v>0.69099999999999995</v>
          </cell>
          <cell r="F11">
            <v>2.5609999999999999</v>
          </cell>
          <cell r="G11">
            <v>2.75</v>
          </cell>
          <cell r="H11">
            <v>1.8149999999999999</v>
          </cell>
          <cell r="I11">
            <v>0.85399999999999998</v>
          </cell>
          <cell r="J11">
            <v>1.341</v>
          </cell>
          <cell r="K11">
            <v>1.87</v>
          </cell>
          <cell r="L11">
            <v>2.262</v>
          </cell>
          <cell r="M11">
            <v>1.9370000000000001</v>
          </cell>
          <cell r="N11">
            <v>1.409</v>
          </cell>
          <cell r="O11">
            <v>20.945</v>
          </cell>
          <cell r="Q11">
            <v>20.945</v>
          </cell>
        </row>
        <row r="12">
          <cell r="B12" t="str">
            <v>KAPLAMALI CAMLAR</v>
          </cell>
          <cell r="C12">
            <v>30.292999999999999</v>
          </cell>
          <cell r="D12">
            <v>10.638999999999999</v>
          </cell>
          <cell r="E12">
            <v>18.268000000000001</v>
          </cell>
          <cell r="F12">
            <v>25.640999999999998</v>
          </cell>
          <cell r="G12">
            <v>29.155999999999999</v>
          </cell>
          <cell r="H12">
            <v>30.298999999999999</v>
          </cell>
          <cell r="I12">
            <v>29.884999999999998</v>
          </cell>
          <cell r="J12">
            <v>37.620000000000005</v>
          </cell>
          <cell r="K12">
            <v>40.453000000000003</v>
          </cell>
          <cell r="L12">
            <v>35.622999999999998</v>
          </cell>
          <cell r="M12">
            <v>29.971999999999998</v>
          </cell>
          <cell r="N12">
            <v>23.476000000000003</v>
          </cell>
          <cell r="O12">
            <v>341.32499999999999</v>
          </cell>
          <cell r="Q12">
            <v>341.32499999999999</v>
          </cell>
        </row>
        <row r="13">
          <cell r="B13" t="str">
            <v>TOPL.RENKSIZ</v>
          </cell>
          <cell r="C13">
            <v>121.779</v>
          </cell>
          <cell r="D13">
            <v>99.452000000000012</v>
          </cell>
          <cell r="E13">
            <v>140.786</v>
          </cell>
          <cell r="F13">
            <v>165.96899999999999</v>
          </cell>
          <cell r="G13">
            <v>164.61700000000002</v>
          </cell>
          <cell r="H13">
            <v>149.65600000000001</v>
          </cell>
          <cell r="I13">
            <v>148.322</v>
          </cell>
          <cell r="J13">
            <v>172.566</v>
          </cell>
          <cell r="K13">
            <v>181.03900000000002</v>
          </cell>
          <cell r="L13">
            <v>173.387</v>
          </cell>
          <cell r="M13">
            <v>164.22900000000001</v>
          </cell>
          <cell r="N13">
            <v>149.10900000000001</v>
          </cell>
          <cell r="O13">
            <v>1830.9110000000001</v>
          </cell>
          <cell r="P13">
            <v>1322</v>
          </cell>
          <cell r="Q13">
            <v>1830.9109999999998</v>
          </cell>
        </row>
        <row r="14">
          <cell r="B14" t="str">
            <v>RENKLİ</v>
          </cell>
          <cell r="P14">
            <v>14</v>
          </cell>
          <cell r="Q14">
            <v>0</v>
          </cell>
        </row>
        <row r="15">
          <cell r="B15" t="str">
            <v>AYNA</v>
          </cell>
          <cell r="C15">
            <v>4</v>
          </cell>
          <cell r="D15">
            <v>4</v>
          </cell>
          <cell r="E15">
            <v>4</v>
          </cell>
          <cell r="F15">
            <v>4</v>
          </cell>
          <cell r="G15">
            <v>4</v>
          </cell>
          <cell r="H15">
            <v>4</v>
          </cell>
          <cell r="I15">
            <v>4</v>
          </cell>
          <cell r="J15">
            <v>4</v>
          </cell>
          <cell r="K15">
            <v>4</v>
          </cell>
          <cell r="L15">
            <v>4</v>
          </cell>
          <cell r="M15">
            <v>4</v>
          </cell>
          <cell r="N15">
            <v>4</v>
          </cell>
          <cell r="O15">
            <v>48</v>
          </cell>
          <cell r="P15">
            <v>51</v>
          </cell>
          <cell r="Q15">
            <v>48</v>
          </cell>
        </row>
        <row r="16">
          <cell r="B16" t="str">
            <v>LAMİNE</v>
          </cell>
          <cell r="C16">
            <v>0.25</v>
          </cell>
          <cell r="D16">
            <v>0.25</v>
          </cell>
          <cell r="E16">
            <v>1.5</v>
          </cell>
          <cell r="F16">
            <v>1.5</v>
          </cell>
          <cell r="G16">
            <v>1.7</v>
          </cell>
          <cell r="H16">
            <v>1.7</v>
          </cell>
          <cell r="I16">
            <v>1.3</v>
          </cell>
          <cell r="J16">
            <v>1.3</v>
          </cell>
          <cell r="K16">
            <v>1.45</v>
          </cell>
          <cell r="L16">
            <v>1.5</v>
          </cell>
          <cell r="M16">
            <v>1.5</v>
          </cell>
          <cell r="N16">
            <v>1.8</v>
          </cell>
          <cell r="O16">
            <v>15.750000000000002</v>
          </cell>
          <cell r="P16">
            <v>11</v>
          </cell>
          <cell r="Q16">
            <v>15.750000000000002</v>
          </cell>
        </row>
        <row r="17">
          <cell r="B17" t="str">
            <v>GENEL TOPLAM</v>
          </cell>
          <cell r="C17">
            <v>126.029</v>
          </cell>
          <cell r="D17">
            <v>103.70200000000001</v>
          </cell>
          <cell r="E17">
            <v>146.286</v>
          </cell>
          <cell r="F17">
            <v>171.46899999999999</v>
          </cell>
          <cell r="G17">
            <v>170.31700000000001</v>
          </cell>
          <cell r="H17">
            <v>155.35599999999999</v>
          </cell>
          <cell r="I17">
            <v>153.62200000000001</v>
          </cell>
          <cell r="J17">
            <v>177.86600000000001</v>
          </cell>
          <cell r="K17">
            <v>186.489</v>
          </cell>
          <cell r="L17">
            <v>178.887</v>
          </cell>
          <cell r="M17">
            <v>169.72900000000001</v>
          </cell>
          <cell r="N17">
            <v>154.90900000000002</v>
          </cell>
          <cell r="O17">
            <v>1894.6610000000001</v>
          </cell>
          <cell r="P17">
            <v>1398</v>
          </cell>
          <cell r="Q17">
            <v>1894.6610000000001</v>
          </cell>
        </row>
        <row r="18">
          <cell r="Q18">
            <v>0</v>
          </cell>
        </row>
        <row r="19">
          <cell r="Q19">
            <v>0</v>
          </cell>
        </row>
        <row r="20">
          <cell r="B20" t="str">
            <v xml:space="preserve"> (TON)</v>
          </cell>
          <cell r="C20" t="str">
            <v>OCAK</v>
          </cell>
          <cell r="D20" t="str">
            <v>SUBAT</v>
          </cell>
          <cell r="E20" t="str">
            <v>MART</v>
          </cell>
          <cell r="F20" t="str">
            <v>NISAN</v>
          </cell>
          <cell r="G20" t="str">
            <v>MAYIS</v>
          </cell>
          <cell r="H20" t="str">
            <v>HAZIRAN</v>
          </cell>
          <cell r="I20" t="str">
            <v>TEMMUZ</v>
          </cell>
          <cell r="J20" t="str">
            <v>AGUSTOS</v>
          </cell>
          <cell r="K20" t="str">
            <v>EYLUL</v>
          </cell>
          <cell r="L20" t="str">
            <v>EKIM</v>
          </cell>
          <cell r="M20" t="str">
            <v>KASIM</v>
          </cell>
          <cell r="N20" t="str">
            <v>ARALIK</v>
          </cell>
          <cell r="O20" t="str">
            <v>TOPLAM</v>
          </cell>
        </row>
        <row r="21">
          <cell r="B21" t="str">
            <v xml:space="preserve"> 3 MM</v>
          </cell>
          <cell r="C21">
            <v>119</v>
          </cell>
          <cell r="D21">
            <v>109</v>
          </cell>
          <cell r="E21">
            <v>141</v>
          </cell>
          <cell r="F21">
            <v>136</v>
          </cell>
          <cell r="G21">
            <v>134</v>
          </cell>
          <cell r="H21">
            <v>147</v>
          </cell>
          <cell r="I21">
            <v>116</v>
          </cell>
          <cell r="J21">
            <v>136</v>
          </cell>
          <cell r="K21">
            <v>132</v>
          </cell>
          <cell r="L21">
            <v>129</v>
          </cell>
          <cell r="M21">
            <v>139</v>
          </cell>
          <cell r="N21">
            <v>122</v>
          </cell>
          <cell r="O21">
            <v>1560</v>
          </cell>
          <cell r="Q21">
            <v>1560</v>
          </cell>
        </row>
        <row r="22">
          <cell r="B22" t="str">
            <v xml:space="preserve"> 4 MM</v>
          </cell>
          <cell r="C22">
            <v>496</v>
          </cell>
          <cell r="D22">
            <v>457</v>
          </cell>
          <cell r="E22">
            <v>667</v>
          </cell>
          <cell r="F22">
            <v>786</v>
          </cell>
          <cell r="G22">
            <v>714</v>
          </cell>
          <cell r="H22">
            <v>682</v>
          </cell>
          <cell r="I22">
            <v>759</v>
          </cell>
          <cell r="J22">
            <v>768</v>
          </cell>
          <cell r="K22">
            <v>821</v>
          </cell>
          <cell r="L22">
            <v>799</v>
          </cell>
          <cell r="M22">
            <v>758</v>
          </cell>
          <cell r="N22">
            <v>730</v>
          </cell>
          <cell r="O22">
            <v>8437</v>
          </cell>
          <cell r="Q22">
            <v>8437</v>
          </cell>
        </row>
        <row r="23">
          <cell r="B23" t="str">
            <v xml:space="preserve"> 5 MM</v>
          </cell>
          <cell r="C23">
            <v>111</v>
          </cell>
          <cell r="D23">
            <v>137</v>
          </cell>
          <cell r="E23">
            <v>194</v>
          </cell>
          <cell r="F23">
            <v>190</v>
          </cell>
          <cell r="G23">
            <v>214</v>
          </cell>
          <cell r="H23">
            <v>122</v>
          </cell>
          <cell r="I23">
            <v>107</v>
          </cell>
          <cell r="J23">
            <v>210</v>
          </cell>
          <cell r="K23">
            <v>187</v>
          </cell>
          <cell r="L23">
            <v>187</v>
          </cell>
          <cell r="M23">
            <v>190</v>
          </cell>
          <cell r="N23">
            <v>180</v>
          </cell>
          <cell r="O23">
            <v>2029</v>
          </cell>
          <cell r="Q23">
            <v>2029</v>
          </cell>
        </row>
        <row r="27">
          <cell r="B27" t="str">
            <v>KAPLAMALI CAMLAR</v>
          </cell>
          <cell r="C27">
            <v>401</v>
          </cell>
          <cell r="D27">
            <v>117</v>
          </cell>
          <cell r="E27">
            <v>206</v>
          </cell>
          <cell r="F27">
            <v>298</v>
          </cell>
          <cell r="G27">
            <v>325</v>
          </cell>
          <cell r="H27">
            <v>330</v>
          </cell>
          <cell r="I27">
            <v>371</v>
          </cell>
          <cell r="J27">
            <v>412</v>
          </cell>
          <cell r="K27">
            <v>445</v>
          </cell>
          <cell r="L27">
            <v>400</v>
          </cell>
          <cell r="M27">
            <v>321</v>
          </cell>
          <cell r="N27">
            <v>256</v>
          </cell>
          <cell r="O27">
            <v>3882</v>
          </cell>
          <cell r="Q27">
            <v>3882</v>
          </cell>
        </row>
        <row r="28">
          <cell r="B28" t="str">
            <v>TOPL.RENKSIZ</v>
          </cell>
          <cell r="C28">
            <v>1383</v>
          </cell>
          <cell r="D28">
            <v>1081</v>
          </cell>
          <cell r="E28">
            <v>1507</v>
          </cell>
          <cell r="F28">
            <v>1826</v>
          </cell>
          <cell r="G28">
            <v>1824</v>
          </cell>
          <cell r="H28">
            <v>1590</v>
          </cell>
          <cell r="I28">
            <v>1596</v>
          </cell>
          <cell r="J28">
            <v>1846</v>
          </cell>
          <cell r="K28">
            <v>1949</v>
          </cell>
          <cell r="L28">
            <v>1885</v>
          </cell>
          <cell r="M28">
            <v>1762</v>
          </cell>
          <cell r="N28">
            <v>1602</v>
          </cell>
          <cell r="O28">
            <v>19851</v>
          </cell>
          <cell r="P28">
            <v>14239</v>
          </cell>
          <cell r="Q28">
            <v>19851</v>
          </cell>
        </row>
        <row r="29">
          <cell r="B29" t="str">
            <v>RENKLİ</v>
          </cell>
          <cell r="P29">
            <v>187</v>
          </cell>
          <cell r="Q29">
            <v>0</v>
          </cell>
        </row>
        <row r="30">
          <cell r="B30" t="str">
            <v>AYNA</v>
          </cell>
          <cell r="C30">
            <v>33.97</v>
          </cell>
          <cell r="D30">
            <v>33.97</v>
          </cell>
          <cell r="E30">
            <v>33.97</v>
          </cell>
          <cell r="F30">
            <v>33.97</v>
          </cell>
          <cell r="G30">
            <v>33.97</v>
          </cell>
          <cell r="H30">
            <v>33.97</v>
          </cell>
          <cell r="I30">
            <v>33.97</v>
          </cell>
          <cell r="J30">
            <v>33.97</v>
          </cell>
          <cell r="K30">
            <v>33.97</v>
          </cell>
          <cell r="L30">
            <v>33.97</v>
          </cell>
          <cell r="M30">
            <v>33.97</v>
          </cell>
          <cell r="N30">
            <v>33.97</v>
          </cell>
          <cell r="O30">
            <v>407.6400000000001</v>
          </cell>
          <cell r="P30">
            <v>434</v>
          </cell>
          <cell r="Q30">
            <v>407.6400000000001</v>
          </cell>
        </row>
        <row r="31">
          <cell r="B31" t="str">
            <v>LAMİNE</v>
          </cell>
          <cell r="C31">
            <v>6</v>
          </cell>
          <cell r="D31">
            <v>6</v>
          </cell>
          <cell r="E31">
            <v>37</v>
          </cell>
          <cell r="F31">
            <v>37</v>
          </cell>
          <cell r="G31">
            <v>42</v>
          </cell>
          <cell r="H31">
            <v>42</v>
          </cell>
          <cell r="I31">
            <v>32</v>
          </cell>
          <cell r="J31">
            <v>32</v>
          </cell>
          <cell r="K31">
            <v>36</v>
          </cell>
          <cell r="L31">
            <v>37</v>
          </cell>
          <cell r="M31">
            <v>37</v>
          </cell>
          <cell r="N31">
            <v>45</v>
          </cell>
          <cell r="O31">
            <v>389</v>
          </cell>
          <cell r="P31">
            <v>226</v>
          </cell>
          <cell r="Q31">
            <v>389</v>
          </cell>
        </row>
        <row r="32">
          <cell r="B32" t="str">
            <v>GENEL TOPLAM</v>
          </cell>
          <cell r="C32">
            <v>1422.97</v>
          </cell>
          <cell r="D32">
            <v>1120.97</v>
          </cell>
          <cell r="E32">
            <v>1577.97</v>
          </cell>
          <cell r="F32">
            <v>1896.97</v>
          </cell>
          <cell r="G32">
            <v>1899.97</v>
          </cell>
          <cell r="H32">
            <v>1665.97</v>
          </cell>
          <cell r="I32">
            <v>1661.97</v>
          </cell>
          <cell r="J32">
            <v>1911.97</v>
          </cell>
          <cell r="K32">
            <v>2018.97</v>
          </cell>
          <cell r="L32">
            <v>1955.97</v>
          </cell>
          <cell r="M32">
            <v>1832.97</v>
          </cell>
          <cell r="N32">
            <v>1680.97</v>
          </cell>
          <cell r="O32">
            <v>20647.64</v>
          </cell>
          <cell r="P32">
            <v>15086</v>
          </cell>
          <cell r="Q32">
            <v>20647.64</v>
          </cell>
        </row>
        <row r="33">
          <cell r="Q33">
            <v>0</v>
          </cell>
        </row>
        <row r="34">
          <cell r="B34" t="str">
            <v xml:space="preserve"> (MTL)</v>
          </cell>
          <cell r="C34" t="str">
            <v>OCAK</v>
          </cell>
          <cell r="D34" t="str">
            <v>SUBAT</v>
          </cell>
          <cell r="E34" t="str">
            <v>MART</v>
          </cell>
          <cell r="F34" t="str">
            <v>NISAN</v>
          </cell>
          <cell r="G34" t="str">
            <v>MAYIS</v>
          </cell>
          <cell r="H34" t="str">
            <v>HAZIRAN</v>
          </cell>
          <cell r="I34" t="str">
            <v>TEMMUZ</v>
          </cell>
          <cell r="J34" t="str">
            <v>AGUSTOS</v>
          </cell>
          <cell r="K34" t="str">
            <v>EYLUL</v>
          </cell>
          <cell r="L34" t="str">
            <v>EKIM</v>
          </cell>
          <cell r="M34" t="str">
            <v>KASIM</v>
          </cell>
          <cell r="N34" t="str">
            <v>ARALIK</v>
          </cell>
          <cell r="O34" t="str">
            <v>TOPLAM</v>
          </cell>
        </row>
        <row r="35">
          <cell r="B35" t="str">
            <v xml:space="preserve"> 3 MM</v>
          </cell>
          <cell r="C35">
            <v>39696.808599840006</v>
          </cell>
          <cell r="D35">
            <v>35359.968000000001</v>
          </cell>
          <cell r="E35">
            <v>47375.328000000001</v>
          </cell>
          <cell r="F35">
            <v>48215.549360159996</v>
          </cell>
          <cell r="G35">
            <v>49818.029844239994</v>
          </cell>
          <cell r="H35">
            <v>56879.192227199994</v>
          </cell>
          <cell r="I35">
            <v>46421.813759999997</v>
          </cell>
          <cell r="J35">
            <v>55804.043589839996</v>
          </cell>
          <cell r="K35">
            <v>55857.134405520002</v>
          </cell>
          <cell r="L35">
            <v>57094.686568080004</v>
          </cell>
          <cell r="M35">
            <v>64092.416250239999</v>
          </cell>
          <cell r="N35">
            <v>58455.241261200012</v>
          </cell>
          <cell r="O35">
            <v>615070.21186631999</v>
          </cell>
          <cell r="Q35">
            <v>615070.21186631999</v>
          </cell>
        </row>
        <row r="36">
          <cell r="B36" t="str">
            <v xml:space="preserve"> 4 MM</v>
          </cell>
          <cell r="C36">
            <v>157351.98610035999</v>
          </cell>
          <cell r="D36">
            <v>140994.84</v>
          </cell>
          <cell r="E36">
            <v>213135.78999999998</v>
          </cell>
          <cell r="F36">
            <v>265004.1344028</v>
          </cell>
          <cell r="G36">
            <v>252442.00111439999</v>
          </cell>
          <cell r="H36">
            <v>250961.55559120004</v>
          </cell>
          <cell r="I36">
            <v>288864.84804751998</v>
          </cell>
          <cell r="J36">
            <v>299688.75999256002</v>
          </cell>
          <cell r="K36">
            <v>330395.97190932004</v>
          </cell>
          <cell r="L36">
            <v>336313.34853824001</v>
          </cell>
          <cell r="M36">
            <v>332398.42061232001</v>
          </cell>
          <cell r="N36">
            <v>332654.61825360003</v>
          </cell>
          <cell r="O36">
            <v>3200206.2745623197</v>
          </cell>
          <cell r="Q36">
            <v>3200206.2745623197</v>
          </cell>
        </row>
        <row r="37">
          <cell r="B37" t="str">
            <v xml:space="preserve"> 5 MM</v>
          </cell>
          <cell r="C37">
            <v>39324.133494879999</v>
          </cell>
          <cell r="D37">
            <v>47201.33600000001</v>
          </cell>
          <cell r="E37">
            <v>69224.928499999995</v>
          </cell>
          <cell r="F37">
            <v>71535.32447516</v>
          </cell>
          <cell r="G37">
            <v>84490.781404770009</v>
          </cell>
          <cell r="H37">
            <v>50131.420556100013</v>
          </cell>
          <cell r="I37">
            <v>45477.022775860001</v>
          </cell>
          <cell r="J37">
            <v>91508.650366120011</v>
          </cell>
          <cell r="K37">
            <v>84036.702764429996</v>
          </cell>
          <cell r="L37">
            <v>87897.24422452999</v>
          </cell>
          <cell r="M37">
            <v>93042.707492280009</v>
          </cell>
          <cell r="N37">
            <v>91590.622238700016</v>
          </cell>
          <cell r="O37">
            <v>855460.87429283001</v>
          </cell>
          <cell r="Q37">
            <v>855460.87429283001</v>
          </cell>
        </row>
        <row r="38">
          <cell r="B38" t="str">
            <v xml:space="preserve"> 6 MM</v>
          </cell>
          <cell r="C38">
            <v>37431.966630080009</v>
          </cell>
          <cell r="D38">
            <v>40146.120000000003</v>
          </cell>
          <cell r="E38">
            <v>54964.976000000002</v>
          </cell>
          <cell r="F38">
            <v>78816.418425679993</v>
          </cell>
          <cell r="G38">
            <v>80704.353538800002</v>
          </cell>
          <cell r="H38">
            <v>67356.590144400005</v>
          </cell>
          <cell r="I38">
            <v>62108.380166240007</v>
          </cell>
          <cell r="J38">
            <v>77018.813328559991</v>
          </cell>
          <cell r="K38">
            <v>91410.73141932</v>
          </cell>
          <cell r="L38">
            <v>87260.043453160004</v>
          </cell>
          <cell r="M38">
            <v>87041.386177680004</v>
          </cell>
          <cell r="N38">
            <v>71854.139302199983</v>
          </cell>
          <cell r="O38">
            <v>836113.91858611989</v>
          </cell>
          <cell r="Q38">
            <v>836113.91858611989</v>
          </cell>
        </row>
        <row r="39">
          <cell r="B39" t="str">
            <v xml:space="preserve"> 8 MM</v>
          </cell>
          <cell r="C39">
            <v>35557.304900000003</v>
          </cell>
          <cell r="D39">
            <v>38459.876000000004</v>
          </cell>
          <cell r="E39">
            <v>46050.927000000011</v>
          </cell>
          <cell r="F39">
            <v>54370.776654480003</v>
          </cell>
          <cell r="G39">
            <v>65505.023996100012</v>
          </cell>
          <cell r="H39">
            <v>41243.813000000002</v>
          </cell>
          <cell r="I39">
            <v>32214.528186880001</v>
          </cell>
          <cell r="J39">
            <v>48197.582115800004</v>
          </cell>
          <cell r="K39">
            <v>51546.379009320008</v>
          </cell>
          <cell r="L39">
            <v>60660.726507420004</v>
          </cell>
          <cell r="M39">
            <v>63197.560918440016</v>
          </cell>
          <cell r="N39">
            <v>70871.026847400004</v>
          </cell>
          <cell r="O39">
            <v>607875.52513584006</v>
          </cell>
          <cell r="Q39">
            <v>607875.52513584006</v>
          </cell>
        </row>
        <row r="40">
          <cell r="B40" t="str">
            <v>10 MM</v>
          </cell>
          <cell r="C40">
            <v>19128.865526310001</v>
          </cell>
          <cell r="D40">
            <v>12402.067999999997</v>
          </cell>
          <cell r="E40">
            <v>6422.499499999999</v>
          </cell>
          <cell r="F40">
            <v>25115.149187180003</v>
          </cell>
          <cell r="G40">
            <v>28281.049802499998</v>
          </cell>
          <cell r="H40">
            <v>19426.587328499998</v>
          </cell>
          <cell r="I40">
            <v>9453.8507282800001</v>
          </cell>
          <cell r="J40">
            <v>15220.660937670002</v>
          </cell>
          <cell r="K40">
            <v>21889.236510900002</v>
          </cell>
          <cell r="L40">
            <v>27694.13869014</v>
          </cell>
          <cell r="M40">
            <v>24706.862185980004</v>
          </cell>
          <cell r="N40">
            <v>18675.683423550003</v>
          </cell>
          <cell r="O40">
            <v>228416.65182101002</v>
          </cell>
          <cell r="Q40">
            <v>228416.65182101002</v>
          </cell>
        </row>
        <row r="41">
          <cell r="B41" t="str">
            <v>KAPLAMALI CAMLAR</v>
          </cell>
          <cell r="C41">
            <v>154435.65368908001</v>
          </cell>
          <cell r="D41">
            <v>40565.672000000006</v>
          </cell>
          <cell r="E41">
            <v>76366.04800000001</v>
          </cell>
          <cell r="F41">
            <v>114248.70733848002</v>
          </cell>
          <cell r="G41">
            <v>130726.20267487998</v>
          </cell>
          <cell r="H41">
            <v>132145.51081000001</v>
          </cell>
          <cell r="I41">
            <v>126417.72076136</v>
          </cell>
          <cell r="J41">
            <v>177418.04188512004</v>
          </cell>
          <cell r="K41">
            <v>198454.78999548001</v>
          </cell>
          <cell r="L41">
            <v>178002.50630140002</v>
          </cell>
          <cell r="M41">
            <v>155544.12389376</v>
          </cell>
          <cell r="N41">
            <v>123548.26989600001</v>
          </cell>
          <cell r="O41">
            <v>1607873.2472455599</v>
          </cell>
          <cell r="Q41">
            <v>1607873.2472455599</v>
          </cell>
        </row>
        <row r="42">
          <cell r="B42" t="str">
            <v>TOPL.RENKSIZ</v>
          </cell>
          <cell r="C42">
            <v>482926.71894055</v>
          </cell>
          <cell r="D42">
            <v>355129.88</v>
          </cell>
          <cell r="E42">
            <v>513540.49700000003</v>
          </cell>
          <cell r="F42">
            <v>657306.05984394008</v>
          </cell>
          <cell r="G42">
            <v>691967.44237568998</v>
          </cell>
          <cell r="H42">
            <v>618144.66965740011</v>
          </cell>
          <cell r="I42">
            <v>610958.16442613991</v>
          </cell>
          <cell r="J42">
            <v>764856.55221567</v>
          </cell>
          <cell r="K42">
            <v>833590.94601428998</v>
          </cell>
          <cell r="L42">
            <v>834922.69428296993</v>
          </cell>
          <cell r="M42">
            <v>820023.47753070004</v>
          </cell>
          <cell r="N42">
            <v>767649.60122265003</v>
          </cell>
          <cell r="O42">
            <v>7951016.7035099994</v>
          </cell>
          <cell r="P42">
            <v>4584054</v>
          </cell>
          <cell r="Q42">
            <v>7951016.7035099994</v>
          </cell>
        </row>
        <row r="43">
          <cell r="B43" t="str">
            <v>RENKLİ</v>
          </cell>
          <cell r="P43">
            <v>71798</v>
          </cell>
          <cell r="Q43">
            <v>0</v>
          </cell>
        </row>
        <row r="44">
          <cell r="B44" t="str">
            <v>AYNA</v>
          </cell>
          <cell r="C44">
            <v>16186.491347999998</v>
          </cell>
          <cell r="D44">
            <v>15741.6</v>
          </cell>
          <cell r="E44">
            <v>16303.8</v>
          </cell>
          <cell r="F44">
            <v>17202.397991999998</v>
          </cell>
          <cell r="G44">
            <v>18039.547523999998</v>
          </cell>
          <cell r="H44">
            <v>18775.118760000001</v>
          </cell>
          <cell r="I44">
            <v>19418.410487999998</v>
          </cell>
          <cell r="J44">
            <v>19909.829507999999</v>
          </cell>
          <cell r="K44">
            <v>20532.971987999998</v>
          </cell>
          <cell r="L44">
            <v>21476.231147999999</v>
          </cell>
          <cell r="M44">
            <v>22374.368136000001</v>
          </cell>
          <cell r="N44">
            <v>23250.286979999997</v>
          </cell>
          <cell r="O44">
            <v>229211.05387199999</v>
          </cell>
          <cell r="P44">
            <v>211490</v>
          </cell>
          <cell r="Q44">
            <v>229211.05387199999</v>
          </cell>
        </row>
        <row r="45">
          <cell r="B45" t="str">
            <v>LAMİNE</v>
          </cell>
          <cell r="C45">
            <v>4343.8934225000003</v>
          </cell>
          <cell r="D45">
            <v>4224.5</v>
          </cell>
          <cell r="E45">
            <v>26252.25</v>
          </cell>
          <cell r="F45">
            <v>27699.165390000002</v>
          </cell>
          <cell r="G45">
            <v>32920.088549</v>
          </cell>
          <cell r="H45">
            <v>34262.421009999998</v>
          </cell>
          <cell r="I45">
            <v>27098.388382000005</v>
          </cell>
          <cell r="J45">
            <v>27784.163537000004</v>
          </cell>
          <cell r="K45">
            <v>31959.9616905</v>
          </cell>
          <cell r="L45">
            <v>34580.857785000007</v>
          </cell>
          <cell r="M45">
            <v>36027.030870000002</v>
          </cell>
          <cell r="N45">
            <v>44924.914170000004</v>
          </cell>
          <cell r="O45">
            <v>332077.63480600005</v>
          </cell>
          <cell r="P45">
            <v>166027</v>
          </cell>
          <cell r="Q45">
            <v>332077.63480600005</v>
          </cell>
        </row>
        <row r="46">
          <cell r="B46" t="str">
            <v>GENEL TOPLAM</v>
          </cell>
          <cell r="C46">
            <v>503457.10371105</v>
          </cell>
          <cell r="D46">
            <v>375095.98</v>
          </cell>
          <cell r="E46">
            <v>556096.54700000002</v>
          </cell>
          <cell r="F46">
            <v>702207.62322594004</v>
          </cell>
          <cell r="G46">
            <v>742927.07844869001</v>
          </cell>
          <cell r="H46">
            <v>671182.20942740014</v>
          </cell>
          <cell r="I46">
            <v>657474.96329613996</v>
          </cell>
          <cell r="J46">
            <v>812550.54526067001</v>
          </cell>
          <cell r="K46">
            <v>886083.87969278998</v>
          </cell>
          <cell r="L46">
            <v>890979.78321596992</v>
          </cell>
          <cell r="M46">
            <v>878424.87653670006</v>
          </cell>
          <cell r="N46">
            <v>835824.80237265001</v>
          </cell>
          <cell r="O46">
            <v>8512305.3921879996</v>
          </cell>
          <cell r="P46">
            <v>5033369</v>
          </cell>
          <cell r="Q46">
            <v>8512305.3921879996</v>
          </cell>
        </row>
        <row r="47">
          <cell r="Q47">
            <v>0</v>
          </cell>
        </row>
        <row r="50">
          <cell r="P50">
            <v>2001</v>
          </cell>
          <cell r="Q50">
            <v>0</v>
          </cell>
        </row>
        <row r="51">
          <cell r="B51" t="str">
            <v xml:space="preserve">  ( 000 M2)</v>
          </cell>
          <cell r="C51" t="str">
            <v>OCAK</v>
          </cell>
          <cell r="D51" t="str">
            <v>SUBAT</v>
          </cell>
          <cell r="E51" t="str">
            <v>MART</v>
          </cell>
          <cell r="F51" t="str">
            <v>NISAN</v>
          </cell>
          <cell r="G51" t="str">
            <v>MAYIS</v>
          </cell>
          <cell r="H51" t="str">
            <v>HAZIRAN</v>
          </cell>
          <cell r="I51" t="str">
            <v>TEMMUZ</v>
          </cell>
          <cell r="J51" t="str">
            <v>AGUSTOS</v>
          </cell>
          <cell r="K51" t="str">
            <v>EYLUL</v>
          </cell>
          <cell r="L51" t="str">
            <v>EKIM</v>
          </cell>
          <cell r="M51" t="str">
            <v>KASIM</v>
          </cell>
          <cell r="N51" t="str">
            <v>ARALIK</v>
          </cell>
          <cell r="O51" t="str">
            <v>TOPLAM</v>
          </cell>
          <cell r="P51" t="str">
            <v>BEKLENEN</v>
          </cell>
          <cell r="R51" t="str">
            <v>KG/M2</v>
          </cell>
        </row>
        <row r="52">
          <cell r="B52" t="str">
            <v xml:space="preserve"> 2 MM</v>
          </cell>
          <cell r="C52">
            <v>0</v>
          </cell>
          <cell r="D52">
            <v>0</v>
          </cell>
          <cell r="E52">
            <v>0</v>
          </cell>
          <cell r="F52">
            <v>0</v>
          </cell>
          <cell r="G52">
            <v>0</v>
          </cell>
          <cell r="H52">
            <v>0</v>
          </cell>
          <cell r="I52">
            <v>0</v>
          </cell>
          <cell r="J52">
            <v>0</v>
          </cell>
          <cell r="K52">
            <v>0</v>
          </cell>
          <cell r="L52">
            <v>0</v>
          </cell>
          <cell r="M52">
            <v>0</v>
          </cell>
          <cell r="N52">
            <v>0</v>
          </cell>
          <cell r="O52">
            <v>0</v>
          </cell>
          <cell r="Q52">
            <v>0</v>
          </cell>
          <cell r="R52">
            <v>5.3</v>
          </cell>
        </row>
        <row r="53">
          <cell r="B53" t="str">
            <v xml:space="preserve"> 2.2 MM</v>
          </cell>
          <cell r="C53">
            <v>0</v>
          </cell>
          <cell r="D53">
            <v>0</v>
          </cell>
          <cell r="E53">
            <v>0</v>
          </cell>
          <cell r="F53">
            <v>0</v>
          </cell>
          <cell r="G53">
            <v>0</v>
          </cell>
          <cell r="H53">
            <v>0</v>
          </cell>
          <cell r="I53">
            <v>0</v>
          </cell>
          <cell r="J53">
            <v>0</v>
          </cell>
          <cell r="K53">
            <v>0</v>
          </cell>
          <cell r="L53">
            <v>0</v>
          </cell>
          <cell r="M53">
            <v>0</v>
          </cell>
          <cell r="N53">
            <v>0</v>
          </cell>
          <cell r="O53">
            <v>0</v>
          </cell>
          <cell r="Q53">
            <v>0</v>
          </cell>
          <cell r="R53">
            <v>5.5</v>
          </cell>
        </row>
        <row r="54">
          <cell r="B54" t="str">
            <v xml:space="preserve"> 2.5 MM</v>
          </cell>
          <cell r="C54">
            <v>0</v>
          </cell>
          <cell r="D54">
            <v>0</v>
          </cell>
          <cell r="E54">
            <v>0</v>
          </cell>
          <cell r="F54">
            <v>0</v>
          </cell>
          <cell r="G54">
            <v>0</v>
          </cell>
          <cell r="H54">
            <v>0</v>
          </cell>
          <cell r="I54">
            <v>0</v>
          </cell>
          <cell r="J54">
            <v>0</v>
          </cell>
          <cell r="K54">
            <v>0</v>
          </cell>
          <cell r="L54">
            <v>0</v>
          </cell>
          <cell r="M54">
            <v>0</v>
          </cell>
          <cell r="N54">
            <v>0</v>
          </cell>
          <cell r="O54">
            <v>0</v>
          </cell>
          <cell r="Q54">
            <v>0</v>
          </cell>
          <cell r="R54">
            <v>6.25</v>
          </cell>
        </row>
        <row r="55">
          <cell r="B55" t="str">
            <v xml:space="preserve"> 3 MM</v>
          </cell>
          <cell r="C55">
            <v>79.311000000000007</v>
          </cell>
          <cell r="D55">
            <v>84.688999999999993</v>
          </cell>
          <cell r="E55">
            <v>120.139</v>
          </cell>
          <cell r="F55">
            <v>136.69</v>
          </cell>
          <cell r="G55">
            <v>125.655</v>
          </cell>
          <cell r="H55">
            <v>163.86099999999999</v>
          </cell>
          <cell r="I55">
            <v>99.724000000000004</v>
          </cell>
          <cell r="J55">
            <v>121.655</v>
          </cell>
          <cell r="K55">
            <v>99.724000000000004</v>
          </cell>
          <cell r="L55">
            <v>127.036</v>
          </cell>
          <cell r="M55">
            <v>110.758</v>
          </cell>
          <cell r="N55">
            <v>127.173</v>
          </cell>
          <cell r="O55">
            <v>1396.4150000000002</v>
          </cell>
          <cell r="Q55">
            <v>1396.4150000000002</v>
          </cell>
          <cell r="R55">
            <v>7.25</v>
          </cell>
        </row>
        <row r="56">
          <cell r="B56" t="str">
            <v xml:space="preserve"> 3.2 MM</v>
          </cell>
          <cell r="C56">
            <v>1.375</v>
          </cell>
          <cell r="D56">
            <v>1.5</v>
          </cell>
          <cell r="E56">
            <v>2.375</v>
          </cell>
          <cell r="F56">
            <v>2.625</v>
          </cell>
          <cell r="G56">
            <v>2.375</v>
          </cell>
          <cell r="H56">
            <v>3.125</v>
          </cell>
          <cell r="I56">
            <v>1.5</v>
          </cell>
          <cell r="J56">
            <v>2</v>
          </cell>
          <cell r="K56">
            <v>1.5</v>
          </cell>
          <cell r="L56">
            <v>2.125</v>
          </cell>
          <cell r="M56">
            <v>1.75</v>
          </cell>
          <cell r="N56">
            <v>2.125</v>
          </cell>
          <cell r="O56">
            <v>24.375</v>
          </cell>
          <cell r="Q56">
            <v>24.375</v>
          </cell>
          <cell r="R56">
            <v>8</v>
          </cell>
        </row>
        <row r="57">
          <cell r="B57" t="str">
            <v xml:space="preserve"> 3.5 MM</v>
          </cell>
          <cell r="C57">
            <v>0</v>
          </cell>
          <cell r="D57">
            <v>0</v>
          </cell>
          <cell r="E57">
            <v>0</v>
          </cell>
          <cell r="F57">
            <v>0</v>
          </cell>
          <cell r="G57">
            <v>0</v>
          </cell>
          <cell r="H57">
            <v>0</v>
          </cell>
          <cell r="I57">
            <v>0</v>
          </cell>
          <cell r="J57">
            <v>0</v>
          </cell>
          <cell r="K57">
            <v>0</v>
          </cell>
          <cell r="L57">
            <v>0</v>
          </cell>
          <cell r="M57">
            <v>0</v>
          </cell>
          <cell r="N57">
            <v>0</v>
          </cell>
          <cell r="O57">
            <v>0</v>
          </cell>
          <cell r="Q57">
            <v>0</v>
          </cell>
          <cell r="R57">
            <v>8.75</v>
          </cell>
        </row>
        <row r="58">
          <cell r="B58" t="str">
            <v xml:space="preserve"> 4 MM</v>
          </cell>
          <cell r="C58">
            <v>656.86</v>
          </cell>
          <cell r="D58">
            <v>702.07899999999995</v>
          </cell>
          <cell r="E58">
            <v>995.53</v>
          </cell>
          <cell r="F58">
            <v>1131.289</v>
          </cell>
          <cell r="G58">
            <v>1040.8530000000001</v>
          </cell>
          <cell r="H58">
            <v>1357.588</v>
          </cell>
          <cell r="I58">
            <v>827.44399999999996</v>
          </cell>
          <cell r="J58">
            <v>1008.524</v>
          </cell>
          <cell r="K58">
            <v>827.44399999999996</v>
          </cell>
          <cell r="L58">
            <v>1053.742</v>
          </cell>
          <cell r="M58">
            <v>917.98299999999995</v>
          </cell>
          <cell r="N58">
            <v>1053.742</v>
          </cell>
          <cell r="O58">
            <v>11573.078000000001</v>
          </cell>
          <cell r="Q58">
            <v>11573.078000000001</v>
          </cell>
          <cell r="R58">
            <v>9.6199999999999992</v>
          </cell>
        </row>
        <row r="59">
          <cell r="B59" t="str">
            <v xml:space="preserve"> 4.15 MM</v>
          </cell>
          <cell r="C59">
            <v>0</v>
          </cell>
          <cell r="D59">
            <v>0</v>
          </cell>
          <cell r="E59">
            <v>0</v>
          </cell>
          <cell r="F59">
            <v>0</v>
          </cell>
          <cell r="G59">
            <v>0</v>
          </cell>
          <cell r="H59">
            <v>0</v>
          </cell>
          <cell r="I59">
            <v>0</v>
          </cell>
          <cell r="J59">
            <v>0</v>
          </cell>
          <cell r="K59">
            <v>0</v>
          </cell>
          <cell r="L59">
            <v>0</v>
          </cell>
          <cell r="M59">
            <v>0</v>
          </cell>
          <cell r="N59">
            <v>0</v>
          </cell>
          <cell r="O59">
            <v>0</v>
          </cell>
          <cell r="Q59">
            <v>0</v>
          </cell>
          <cell r="R59">
            <v>10.5</v>
          </cell>
        </row>
        <row r="60">
          <cell r="B60" t="str">
            <v xml:space="preserve"> 5 MM</v>
          </cell>
          <cell r="C60">
            <v>31.934000000000001</v>
          </cell>
          <cell r="D60">
            <v>34.073999999999998</v>
          </cell>
          <cell r="E60">
            <v>48.395000000000003</v>
          </cell>
          <cell r="F60">
            <v>54.978999999999999</v>
          </cell>
          <cell r="G60">
            <v>50.618000000000002</v>
          </cell>
          <cell r="H60">
            <v>66.007999999999996</v>
          </cell>
          <cell r="I60">
            <v>40.164000000000001</v>
          </cell>
          <cell r="J60">
            <v>48.970999999999997</v>
          </cell>
          <cell r="K60">
            <v>40.164000000000001</v>
          </cell>
          <cell r="L60">
            <v>51.192999999999998</v>
          </cell>
          <cell r="M60">
            <v>44.527000000000001</v>
          </cell>
          <cell r="N60">
            <v>51.192999999999998</v>
          </cell>
          <cell r="O60">
            <v>562.21999999999991</v>
          </cell>
          <cell r="Q60">
            <v>562.21999999999991</v>
          </cell>
          <cell r="R60">
            <v>12.15</v>
          </cell>
        </row>
        <row r="61">
          <cell r="B61" t="str">
            <v xml:space="preserve"> 6 MM</v>
          </cell>
          <cell r="C61">
            <v>51.671999999999997</v>
          </cell>
          <cell r="D61">
            <v>55.085000000000001</v>
          </cell>
          <cell r="E61">
            <v>75.632000000000005</v>
          </cell>
          <cell r="F61">
            <v>85.938999999999993</v>
          </cell>
          <cell r="G61">
            <v>79.045000000000002</v>
          </cell>
          <cell r="H61">
            <v>103.14</v>
          </cell>
          <cell r="I61">
            <v>67.370999999999995</v>
          </cell>
          <cell r="J61">
            <v>81.091999999999999</v>
          </cell>
          <cell r="K61">
            <v>67.370999999999995</v>
          </cell>
          <cell r="L61">
            <v>84.506</v>
          </cell>
          <cell r="M61">
            <v>74.198999999999998</v>
          </cell>
          <cell r="N61">
            <v>84.436999999999998</v>
          </cell>
          <cell r="O61">
            <v>909.48899999999992</v>
          </cell>
          <cell r="Q61">
            <v>909.48899999999992</v>
          </cell>
          <cell r="R61">
            <v>14.65</v>
          </cell>
        </row>
        <row r="62">
          <cell r="B62" t="str">
            <v xml:space="preserve"> 8 MM</v>
          </cell>
          <cell r="C62">
            <v>11.581</v>
          </cell>
          <cell r="D62">
            <v>12.398</v>
          </cell>
          <cell r="E62">
            <v>16.888000000000002</v>
          </cell>
          <cell r="F62">
            <v>19.183</v>
          </cell>
          <cell r="G62">
            <v>17.652999999999999</v>
          </cell>
          <cell r="H62">
            <v>23.01</v>
          </cell>
          <cell r="I62">
            <v>15.204000000000001</v>
          </cell>
          <cell r="J62">
            <v>18.265000000000001</v>
          </cell>
          <cell r="K62">
            <v>15.204000000000001</v>
          </cell>
          <cell r="L62">
            <v>19.030999999999999</v>
          </cell>
          <cell r="M62">
            <v>16.734999999999999</v>
          </cell>
          <cell r="N62">
            <v>19.082000000000001</v>
          </cell>
          <cell r="O62">
            <v>204.23400000000004</v>
          </cell>
          <cell r="Q62">
            <v>204.23400000000004</v>
          </cell>
          <cell r="R62">
            <v>19.600000000000001</v>
          </cell>
        </row>
        <row r="63">
          <cell r="B63" t="str">
            <v>10 MM</v>
          </cell>
          <cell r="C63">
            <v>9.2279999999999998</v>
          </cell>
          <cell r="D63">
            <v>9.8780000000000001</v>
          </cell>
          <cell r="E63">
            <v>13.455</v>
          </cell>
          <cell r="F63">
            <v>15.284000000000001</v>
          </cell>
          <cell r="G63">
            <v>14.065</v>
          </cell>
          <cell r="H63">
            <v>18.334</v>
          </cell>
          <cell r="I63">
            <v>12.114000000000001</v>
          </cell>
          <cell r="J63">
            <v>14.553000000000001</v>
          </cell>
          <cell r="K63">
            <v>12.114000000000001</v>
          </cell>
          <cell r="L63">
            <v>15.162000000000001</v>
          </cell>
          <cell r="M63">
            <v>13.334</v>
          </cell>
          <cell r="N63">
            <v>15.202999999999999</v>
          </cell>
          <cell r="O63">
            <v>162.72400000000002</v>
          </cell>
          <cell r="Q63">
            <v>162.72400000000002</v>
          </cell>
          <cell r="R63">
            <v>24.6</v>
          </cell>
        </row>
        <row r="64">
          <cell r="B64" t="str">
            <v>12 MM</v>
          </cell>
          <cell r="C64">
            <v>0.94299999999999995</v>
          </cell>
          <cell r="D64">
            <v>1.01</v>
          </cell>
          <cell r="E64">
            <v>1.6160000000000001</v>
          </cell>
          <cell r="F64">
            <v>1.8180000000000001</v>
          </cell>
          <cell r="G64">
            <v>1.6839999999999999</v>
          </cell>
          <cell r="H64">
            <v>2.1890000000000001</v>
          </cell>
          <cell r="I64">
            <v>1.077</v>
          </cell>
          <cell r="J64">
            <v>1.347</v>
          </cell>
          <cell r="K64">
            <v>1.077</v>
          </cell>
          <cell r="L64">
            <v>1.448</v>
          </cell>
          <cell r="M64">
            <v>1.212</v>
          </cell>
          <cell r="N64">
            <v>1.448</v>
          </cell>
          <cell r="O64">
            <v>16.869</v>
          </cell>
          <cell r="Q64">
            <v>16.869</v>
          </cell>
          <cell r="R64">
            <v>29.7</v>
          </cell>
        </row>
        <row r="65">
          <cell r="B65" t="str">
            <v>SERCAM</v>
          </cell>
          <cell r="C65">
            <v>2.069</v>
          </cell>
          <cell r="D65">
            <v>4.1379999999999999</v>
          </cell>
          <cell r="E65">
            <v>2.069</v>
          </cell>
          <cell r="F65">
            <v>2.069</v>
          </cell>
          <cell r="G65">
            <v>6.2069999999999999</v>
          </cell>
          <cell r="H65">
            <v>29.655000000000001</v>
          </cell>
          <cell r="I65">
            <v>6.2069999999999999</v>
          </cell>
          <cell r="J65">
            <v>6.2069999999999999</v>
          </cell>
          <cell r="K65">
            <v>28.276</v>
          </cell>
          <cell r="L65">
            <v>12.414</v>
          </cell>
          <cell r="M65">
            <v>2.069</v>
          </cell>
          <cell r="N65">
            <v>2.069</v>
          </cell>
          <cell r="O65">
            <v>103.44900000000001</v>
          </cell>
          <cell r="P65">
            <v>592</v>
          </cell>
          <cell r="Q65">
            <v>103.44900000000001</v>
          </cell>
          <cell r="R65">
            <v>7.25</v>
          </cell>
        </row>
        <row r="66">
          <cell r="B66" t="str">
            <v>TOPL.RENKSIZ</v>
          </cell>
          <cell r="C66">
            <v>844.97299999999996</v>
          </cell>
          <cell r="D66">
            <v>904.851</v>
          </cell>
          <cell r="E66">
            <v>1276.0989999999997</v>
          </cell>
          <cell r="F66">
            <v>1449.8760000000002</v>
          </cell>
          <cell r="G66">
            <v>1338.1550000000002</v>
          </cell>
          <cell r="H66">
            <v>1766.9100000000003</v>
          </cell>
          <cell r="I66">
            <v>1070.8050000000001</v>
          </cell>
          <cell r="J66">
            <v>1302.6140000000005</v>
          </cell>
          <cell r="K66">
            <v>1092.874</v>
          </cell>
          <cell r="L66">
            <v>1366.6570000000002</v>
          </cell>
          <cell r="M66">
            <v>1182.567</v>
          </cell>
          <cell r="N66">
            <v>1356.472</v>
          </cell>
          <cell r="O66">
            <v>14952.853000000003</v>
          </cell>
          <cell r="P66">
            <v>15554</v>
          </cell>
          <cell r="Q66">
            <v>14952.852999999997</v>
          </cell>
        </row>
        <row r="67">
          <cell r="B67" t="str">
            <v>RENKLI</v>
          </cell>
          <cell r="C67">
            <v>58.056000000000004</v>
          </cell>
          <cell r="D67">
            <v>60.743000000000002</v>
          </cell>
          <cell r="E67">
            <v>70.309000000000012</v>
          </cell>
          <cell r="F67">
            <v>80.407999999999987</v>
          </cell>
          <cell r="G67">
            <v>73.882000000000019</v>
          </cell>
          <cell r="H67">
            <v>96.421999999999983</v>
          </cell>
          <cell r="I67">
            <v>86.728999999999985</v>
          </cell>
          <cell r="J67">
            <v>99.495999999999995</v>
          </cell>
          <cell r="K67">
            <v>86.728999999999985</v>
          </cell>
          <cell r="L67">
            <v>102.55500000000001</v>
          </cell>
          <cell r="M67">
            <v>92.933000000000007</v>
          </cell>
          <cell r="N67">
            <v>102.65900000000001</v>
          </cell>
          <cell r="O67">
            <v>1010.9209999999999</v>
          </cell>
          <cell r="P67">
            <v>811</v>
          </cell>
          <cell r="Q67">
            <v>1010.9209999999999</v>
          </cell>
        </row>
        <row r="68">
          <cell r="B68" t="str">
            <v>A.YEŞİL</v>
          </cell>
          <cell r="Q68">
            <v>0</v>
          </cell>
          <cell r="R68" t="str">
            <v>KG/M2</v>
          </cell>
        </row>
        <row r="69">
          <cell r="B69" t="str">
            <v xml:space="preserve"> 2.2 MM</v>
          </cell>
          <cell r="C69">
            <v>14.545</v>
          </cell>
          <cell r="D69">
            <v>15.273</v>
          </cell>
          <cell r="E69">
            <v>17.818000000000001</v>
          </cell>
          <cell r="F69">
            <v>20.181999999999999</v>
          </cell>
          <cell r="G69">
            <v>18.545000000000002</v>
          </cell>
          <cell r="H69">
            <v>24.181999999999999</v>
          </cell>
          <cell r="I69">
            <v>21.818000000000001</v>
          </cell>
          <cell r="J69">
            <v>25.091000000000001</v>
          </cell>
          <cell r="K69">
            <v>21.818000000000001</v>
          </cell>
          <cell r="L69">
            <v>25.818000000000001</v>
          </cell>
          <cell r="M69">
            <v>23.454999999999998</v>
          </cell>
          <cell r="N69">
            <v>25.818000000000001</v>
          </cell>
          <cell r="O69">
            <v>254.36300000000003</v>
          </cell>
          <cell r="Q69">
            <v>254.36300000000003</v>
          </cell>
          <cell r="R69">
            <v>5.5</v>
          </cell>
        </row>
        <row r="70">
          <cell r="B70" t="str">
            <v xml:space="preserve"> 2.5 MM</v>
          </cell>
          <cell r="C70">
            <v>4.6399999999999997</v>
          </cell>
          <cell r="D70">
            <v>4.8</v>
          </cell>
          <cell r="E70">
            <v>5.6</v>
          </cell>
          <cell r="F70">
            <v>6.4</v>
          </cell>
          <cell r="G70">
            <v>5.92</v>
          </cell>
          <cell r="H70">
            <v>7.68</v>
          </cell>
          <cell r="I70">
            <v>6.88</v>
          </cell>
          <cell r="J70">
            <v>7.84</v>
          </cell>
          <cell r="K70">
            <v>6.88</v>
          </cell>
          <cell r="L70">
            <v>8.16</v>
          </cell>
          <cell r="M70">
            <v>7.36</v>
          </cell>
          <cell r="N70">
            <v>8.16</v>
          </cell>
          <cell r="O70">
            <v>80.320000000000007</v>
          </cell>
          <cell r="Q70">
            <v>80.320000000000007</v>
          </cell>
          <cell r="R70">
            <v>6.25</v>
          </cell>
        </row>
        <row r="71">
          <cell r="B71" t="str">
            <v xml:space="preserve"> 3 MM</v>
          </cell>
          <cell r="C71">
            <v>4.8280000000000003</v>
          </cell>
          <cell r="D71">
            <v>4.9660000000000002</v>
          </cell>
          <cell r="E71">
            <v>5.7939999999999996</v>
          </cell>
          <cell r="F71">
            <v>6.62</v>
          </cell>
          <cell r="G71">
            <v>6.069</v>
          </cell>
          <cell r="H71">
            <v>8</v>
          </cell>
          <cell r="I71">
            <v>7.1719999999999997</v>
          </cell>
          <cell r="J71">
            <v>8.1379999999999999</v>
          </cell>
          <cell r="K71">
            <v>7.1719999999999997</v>
          </cell>
          <cell r="L71">
            <v>8.4130000000000003</v>
          </cell>
          <cell r="M71">
            <v>7.5860000000000003</v>
          </cell>
          <cell r="N71">
            <v>8.4130000000000003</v>
          </cell>
          <cell r="O71">
            <v>83.170999999999992</v>
          </cell>
          <cell r="Q71">
            <v>83.170999999999992</v>
          </cell>
          <cell r="R71">
            <v>7.25</v>
          </cell>
        </row>
        <row r="75">
          <cell r="B75" t="str">
            <v xml:space="preserve"> 5 MM</v>
          </cell>
          <cell r="C75">
            <v>3.2919999999999998</v>
          </cell>
          <cell r="D75">
            <v>3.4569999999999999</v>
          </cell>
          <cell r="E75">
            <v>4.0330000000000004</v>
          </cell>
          <cell r="F75">
            <v>4.609</v>
          </cell>
          <cell r="G75">
            <v>4.1970000000000001</v>
          </cell>
          <cell r="H75">
            <v>5.5140000000000002</v>
          </cell>
          <cell r="I75">
            <v>4.9390000000000001</v>
          </cell>
          <cell r="J75">
            <v>5.6790000000000003</v>
          </cell>
          <cell r="K75">
            <v>4.9390000000000001</v>
          </cell>
          <cell r="L75">
            <v>5.8440000000000003</v>
          </cell>
          <cell r="M75">
            <v>5.2679999999999998</v>
          </cell>
          <cell r="N75">
            <v>5.8440000000000003</v>
          </cell>
          <cell r="O75">
            <v>57.615000000000002</v>
          </cell>
          <cell r="Q75">
            <v>57.615000000000002</v>
          </cell>
          <cell r="R75">
            <v>12.15</v>
          </cell>
        </row>
        <row r="76">
          <cell r="B76" t="str">
            <v xml:space="preserve"> 5,5 MM</v>
          </cell>
          <cell r="C76">
            <v>0</v>
          </cell>
          <cell r="D76">
            <v>0</v>
          </cell>
          <cell r="E76">
            <v>0</v>
          </cell>
          <cell r="F76">
            <v>0</v>
          </cell>
          <cell r="G76">
            <v>0</v>
          </cell>
          <cell r="H76">
            <v>0</v>
          </cell>
          <cell r="I76">
            <v>0</v>
          </cell>
          <cell r="J76">
            <v>0</v>
          </cell>
          <cell r="K76">
            <v>0</v>
          </cell>
          <cell r="L76">
            <v>0</v>
          </cell>
          <cell r="M76">
            <v>0</v>
          </cell>
          <cell r="N76">
            <v>0</v>
          </cell>
          <cell r="O76">
            <v>0</v>
          </cell>
          <cell r="Q76">
            <v>0</v>
          </cell>
          <cell r="R76">
            <v>13.75</v>
          </cell>
        </row>
        <row r="77">
          <cell r="B77" t="str">
            <v xml:space="preserve"> 6 MM</v>
          </cell>
          <cell r="C77">
            <v>2.3889999999999998</v>
          </cell>
          <cell r="D77">
            <v>2.4580000000000002</v>
          </cell>
          <cell r="E77">
            <v>2.7989999999999999</v>
          </cell>
          <cell r="F77">
            <v>3.2759999999999998</v>
          </cell>
          <cell r="G77">
            <v>3.004</v>
          </cell>
          <cell r="H77">
            <v>3.96</v>
          </cell>
          <cell r="I77">
            <v>3.5489999999999999</v>
          </cell>
          <cell r="J77">
            <v>4.0279999999999996</v>
          </cell>
          <cell r="K77">
            <v>3.5489999999999999</v>
          </cell>
          <cell r="L77">
            <v>4.1639999999999997</v>
          </cell>
          <cell r="M77">
            <v>3.8220000000000001</v>
          </cell>
          <cell r="N77">
            <v>4.1639999999999997</v>
          </cell>
          <cell r="O77">
            <v>41.161999999999999</v>
          </cell>
          <cell r="Q77">
            <v>41.161999999999999</v>
          </cell>
          <cell r="R77">
            <v>14.65</v>
          </cell>
        </row>
        <row r="78">
          <cell r="B78" t="str">
            <v xml:space="preserve"> 8 MM</v>
          </cell>
          <cell r="C78">
            <v>0</v>
          </cell>
          <cell r="D78">
            <v>0</v>
          </cell>
          <cell r="E78">
            <v>0</v>
          </cell>
          <cell r="F78">
            <v>0</v>
          </cell>
          <cell r="G78">
            <v>0</v>
          </cell>
          <cell r="H78">
            <v>0</v>
          </cell>
          <cell r="I78">
            <v>0</v>
          </cell>
          <cell r="J78">
            <v>0</v>
          </cell>
          <cell r="K78">
            <v>0</v>
          </cell>
          <cell r="L78">
            <v>0</v>
          </cell>
          <cell r="M78">
            <v>0</v>
          </cell>
          <cell r="N78">
            <v>0</v>
          </cell>
          <cell r="O78">
            <v>0</v>
          </cell>
          <cell r="Q78">
            <v>0</v>
          </cell>
          <cell r="R78">
            <v>19.600000000000001</v>
          </cell>
        </row>
        <row r="79">
          <cell r="B79" t="str">
            <v>YANSITICI</v>
          </cell>
          <cell r="C79">
            <v>6.3529999999999998</v>
          </cell>
          <cell r="D79">
            <v>6.6290000000000004</v>
          </cell>
          <cell r="E79">
            <v>7.7329999999999997</v>
          </cell>
          <cell r="F79">
            <v>8.8369999999999997</v>
          </cell>
          <cell r="G79">
            <v>8.1810000000000009</v>
          </cell>
          <cell r="H79">
            <v>10.668000000000001</v>
          </cell>
          <cell r="I79">
            <v>9.5609999999999999</v>
          </cell>
          <cell r="J79">
            <v>10.943999999999999</v>
          </cell>
          <cell r="K79">
            <v>9.5609999999999999</v>
          </cell>
          <cell r="L79">
            <v>11.151</v>
          </cell>
          <cell r="M79">
            <v>10.149999999999999</v>
          </cell>
          <cell r="N79">
            <v>11.321999999999999</v>
          </cell>
          <cell r="O79">
            <v>111.09</v>
          </cell>
          <cell r="P79">
            <v>106</v>
          </cell>
          <cell r="Q79">
            <v>111.09</v>
          </cell>
          <cell r="R79" t="str">
            <v>KG/M2</v>
          </cell>
        </row>
        <row r="80">
          <cell r="B80" t="str">
            <v>4 MM</v>
          </cell>
          <cell r="C80">
            <v>4.782</v>
          </cell>
          <cell r="D80">
            <v>4.99</v>
          </cell>
          <cell r="E80">
            <v>5.8209999999999997</v>
          </cell>
          <cell r="F80">
            <v>6.6529999999999996</v>
          </cell>
          <cell r="G80">
            <v>6.133</v>
          </cell>
          <cell r="H80">
            <v>8.0050000000000008</v>
          </cell>
          <cell r="I80">
            <v>7.173</v>
          </cell>
          <cell r="J80">
            <v>8.2129999999999992</v>
          </cell>
          <cell r="K80">
            <v>7.173</v>
          </cell>
          <cell r="L80">
            <v>8.42</v>
          </cell>
          <cell r="M80">
            <v>7.6929999999999996</v>
          </cell>
          <cell r="N80">
            <v>8.5229999999999997</v>
          </cell>
          <cell r="O80">
            <v>83.578999999999994</v>
          </cell>
          <cell r="Q80">
            <v>83.578999999999994</v>
          </cell>
          <cell r="R80">
            <v>9.6199999999999992</v>
          </cell>
        </row>
        <row r="81">
          <cell r="B81" t="str">
            <v>5 MM</v>
          </cell>
          <cell r="C81">
            <v>0</v>
          </cell>
          <cell r="D81">
            <v>0</v>
          </cell>
          <cell r="E81">
            <v>0</v>
          </cell>
          <cell r="F81">
            <v>0</v>
          </cell>
          <cell r="G81">
            <v>0</v>
          </cell>
          <cell r="H81">
            <v>0</v>
          </cell>
          <cell r="I81">
            <v>0</v>
          </cell>
          <cell r="J81">
            <v>0</v>
          </cell>
          <cell r="K81">
            <v>0</v>
          </cell>
          <cell r="L81">
            <v>0</v>
          </cell>
          <cell r="M81">
            <v>0</v>
          </cell>
          <cell r="N81">
            <v>0</v>
          </cell>
          <cell r="O81">
            <v>0</v>
          </cell>
          <cell r="Q81">
            <v>0</v>
          </cell>
          <cell r="R81">
            <v>12.15</v>
          </cell>
        </row>
        <row r="82">
          <cell r="B82" t="str">
            <v>6 MM</v>
          </cell>
          <cell r="C82">
            <v>1.571</v>
          </cell>
          <cell r="D82">
            <v>1.639</v>
          </cell>
          <cell r="E82">
            <v>1.9119999999999999</v>
          </cell>
          <cell r="F82">
            <v>2.1840000000000002</v>
          </cell>
          <cell r="G82">
            <v>2.048</v>
          </cell>
          <cell r="H82">
            <v>2.6629999999999998</v>
          </cell>
          <cell r="I82">
            <v>2.3879999999999999</v>
          </cell>
          <cell r="J82">
            <v>2.7309999999999999</v>
          </cell>
          <cell r="K82">
            <v>2.3879999999999999</v>
          </cell>
          <cell r="L82">
            <v>2.7309999999999999</v>
          </cell>
          <cell r="M82">
            <v>2.4569999999999999</v>
          </cell>
          <cell r="N82">
            <v>2.7989999999999999</v>
          </cell>
          <cell r="O82">
            <v>27.511000000000003</v>
          </cell>
          <cell r="Q82">
            <v>27.511000000000003</v>
          </cell>
          <cell r="R82">
            <v>14.65</v>
          </cell>
        </row>
        <row r="83">
          <cell r="B83" t="str">
            <v>TOPL.DÜZCAM</v>
          </cell>
          <cell r="C83">
            <v>909.38199999999995</v>
          </cell>
          <cell r="D83">
            <v>972.22300000000007</v>
          </cell>
          <cell r="E83">
            <v>1354.1409999999996</v>
          </cell>
          <cell r="F83">
            <v>1539.1210000000001</v>
          </cell>
          <cell r="G83">
            <v>1420.2180000000003</v>
          </cell>
          <cell r="H83">
            <v>1874.0000000000002</v>
          </cell>
          <cell r="I83">
            <v>1167.095</v>
          </cell>
          <cell r="J83">
            <v>1413.0540000000005</v>
          </cell>
          <cell r="K83">
            <v>1189.164</v>
          </cell>
          <cell r="L83">
            <v>1480.3630000000003</v>
          </cell>
          <cell r="M83">
            <v>1285.6500000000001</v>
          </cell>
          <cell r="N83">
            <v>1470.453</v>
          </cell>
          <cell r="O83">
            <v>16074.864000000001</v>
          </cell>
          <cell r="P83">
            <v>17063</v>
          </cell>
          <cell r="Q83">
            <v>16074.864000000001</v>
          </cell>
        </row>
        <row r="84">
          <cell r="B84" t="str">
            <v>LAMİNE</v>
          </cell>
          <cell r="C84">
            <v>12.001000000000001</v>
          </cell>
          <cell r="D84">
            <v>15.000999999999999</v>
          </cell>
          <cell r="E84">
            <v>12.001000000000001</v>
          </cell>
          <cell r="F84">
            <v>20</v>
          </cell>
          <cell r="G84">
            <v>15.000999999999999</v>
          </cell>
          <cell r="H84">
            <v>20</v>
          </cell>
          <cell r="I84">
            <v>18.5</v>
          </cell>
          <cell r="J84">
            <v>22.002000000000002</v>
          </cell>
          <cell r="K84">
            <v>18.5</v>
          </cell>
          <cell r="L84">
            <v>22.002000000000002</v>
          </cell>
          <cell r="M84">
            <v>15.000999999999999</v>
          </cell>
          <cell r="N84">
            <v>20</v>
          </cell>
          <cell r="O84">
            <v>210.00900000000001</v>
          </cell>
          <cell r="P84">
            <v>210</v>
          </cell>
          <cell r="Q84">
            <v>210.00900000000001</v>
          </cell>
          <cell r="R84" t="str">
            <v>KG/M2</v>
          </cell>
        </row>
        <row r="85">
          <cell r="B85" t="str">
            <v>3+3 rz</v>
          </cell>
          <cell r="C85">
            <v>2.2810000000000001</v>
          </cell>
          <cell r="D85">
            <v>2.85</v>
          </cell>
          <cell r="E85">
            <v>2.2810000000000001</v>
          </cell>
          <cell r="F85">
            <v>3.8</v>
          </cell>
          <cell r="G85">
            <v>2.85</v>
          </cell>
          <cell r="H85">
            <v>3.8</v>
          </cell>
          <cell r="I85">
            <v>3.5150000000000001</v>
          </cell>
          <cell r="J85">
            <v>4.181</v>
          </cell>
          <cell r="K85">
            <v>3.5150000000000001</v>
          </cell>
          <cell r="L85">
            <v>4.181</v>
          </cell>
          <cell r="M85">
            <v>2.85</v>
          </cell>
          <cell r="N85">
            <v>3.8</v>
          </cell>
          <cell r="O85">
            <v>39.903999999999996</v>
          </cell>
          <cell r="Q85">
            <v>39.903999999999996</v>
          </cell>
          <cell r="R85">
            <v>19.739999999999998</v>
          </cell>
        </row>
        <row r="86">
          <cell r="B86" t="str">
            <v>4+4</v>
          </cell>
          <cell r="C86">
            <v>5.4</v>
          </cell>
          <cell r="D86">
            <v>6.75</v>
          </cell>
          <cell r="E86">
            <v>5.4</v>
          </cell>
          <cell r="F86">
            <v>9</v>
          </cell>
          <cell r="G86">
            <v>6.75</v>
          </cell>
          <cell r="H86">
            <v>9</v>
          </cell>
          <cell r="I86">
            <v>8.3249999999999993</v>
          </cell>
          <cell r="J86">
            <v>9.9</v>
          </cell>
          <cell r="K86">
            <v>8.3249999999999993</v>
          </cell>
          <cell r="L86">
            <v>9.9</v>
          </cell>
          <cell r="M86">
            <v>6.75</v>
          </cell>
          <cell r="N86">
            <v>9</v>
          </cell>
          <cell r="O86">
            <v>94.5</v>
          </cell>
          <cell r="Q86">
            <v>94.5</v>
          </cell>
          <cell r="R86">
            <v>24.8</v>
          </cell>
        </row>
        <row r="87">
          <cell r="B87" t="str">
            <v>5+5</v>
          </cell>
          <cell r="C87">
            <v>3.72</v>
          </cell>
          <cell r="D87">
            <v>4.6500000000000004</v>
          </cell>
          <cell r="E87">
            <v>3.72</v>
          </cell>
          <cell r="F87">
            <v>6.2</v>
          </cell>
          <cell r="G87">
            <v>4.6500000000000004</v>
          </cell>
          <cell r="H87">
            <v>6.2</v>
          </cell>
          <cell r="I87">
            <v>5.7350000000000003</v>
          </cell>
          <cell r="J87">
            <v>6.8209999999999997</v>
          </cell>
          <cell r="K87">
            <v>5.7350000000000003</v>
          </cell>
          <cell r="L87">
            <v>6.8209999999999997</v>
          </cell>
          <cell r="M87">
            <v>4.6500000000000004</v>
          </cell>
          <cell r="N87">
            <v>6.2</v>
          </cell>
          <cell r="O87">
            <v>65.102000000000004</v>
          </cell>
          <cell r="Q87">
            <v>65.102000000000004</v>
          </cell>
          <cell r="R87">
            <v>15</v>
          </cell>
        </row>
        <row r="88">
          <cell r="B88" t="str">
            <v>6+6</v>
          </cell>
          <cell r="C88">
            <v>0.6</v>
          </cell>
          <cell r="D88">
            <v>0.751</v>
          </cell>
          <cell r="E88">
            <v>0.6</v>
          </cell>
          <cell r="F88">
            <v>1</v>
          </cell>
          <cell r="G88">
            <v>0.751</v>
          </cell>
          <cell r="H88">
            <v>1</v>
          </cell>
          <cell r="I88">
            <v>0.92500000000000004</v>
          </cell>
          <cell r="J88">
            <v>1.1000000000000001</v>
          </cell>
          <cell r="K88">
            <v>0.92500000000000004</v>
          </cell>
          <cell r="L88">
            <v>1.1000000000000001</v>
          </cell>
          <cell r="M88">
            <v>0.751</v>
          </cell>
          <cell r="N88">
            <v>1</v>
          </cell>
          <cell r="O88">
            <v>10.503</v>
          </cell>
          <cell r="Q88">
            <v>10.503</v>
          </cell>
          <cell r="R88">
            <v>19.739999999999998</v>
          </cell>
        </row>
        <row r="89">
          <cell r="O89">
            <v>0</v>
          </cell>
          <cell r="Q89">
            <v>0</v>
          </cell>
          <cell r="R89">
            <v>24.8</v>
          </cell>
        </row>
        <row r="90">
          <cell r="O90">
            <v>0</v>
          </cell>
          <cell r="Q90">
            <v>0</v>
          </cell>
          <cell r="R90">
            <v>29.8</v>
          </cell>
        </row>
        <row r="91">
          <cell r="B91" t="str">
            <v>AYNA</v>
          </cell>
          <cell r="C91">
            <v>100</v>
          </cell>
          <cell r="D91">
            <v>195.00000000000003</v>
          </cell>
          <cell r="E91">
            <v>140.00099999999998</v>
          </cell>
          <cell r="F91">
            <v>220.00099999999998</v>
          </cell>
          <cell r="G91">
            <v>149.99900000000002</v>
          </cell>
          <cell r="H91">
            <v>230.00100000000003</v>
          </cell>
          <cell r="I91">
            <v>170</v>
          </cell>
          <cell r="J91">
            <v>234.99999999999997</v>
          </cell>
          <cell r="K91">
            <v>180.00100000000003</v>
          </cell>
          <cell r="L91">
            <v>240</v>
          </cell>
          <cell r="M91">
            <v>140.001</v>
          </cell>
          <cell r="N91">
            <v>200.00000000000003</v>
          </cell>
          <cell r="O91">
            <v>2200.0039999999999</v>
          </cell>
          <cell r="P91">
            <v>2049</v>
          </cell>
          <cell r="Q91">
            <v>2200.0039999999999</v>
          </cell>
          <cell r="R91" t="str">
            <v>KG/M2</v>
          </cell>
        </row>
        <row r="92">
          <cell r="B92" t="str">
            <v>RENKLİ 4 MM</v>
          </cell>
          <cell r="C92">
            <v>1</v>
          </cell>
          <cell r="D92">
            <v>2</v>
          </cell>
          <cell r="E92">
            <v>1.2</v>
          </cell>
          <cell r="F92">
            <v>3.1</v>
          </cell>
          <cell r="G92">
            <v>1.75</v>
          </cell>
          <cell r="H92">
            <v>2.9</v>
          </cell>
          <cell r="I92">
            <v>2</v>
          </cell>
          <cell r="J92">
            <v>3</v>
          </cell>
          <cell r="K92">
            <v>2.5</v>
          </cell>
          <cell r="L92">
            <v>2.4500000000000002</v>
          </cell>
          <cell r="M92">
            <v>1.5</v>
          </cell>
          <cell r="N92">
            <v>2.4</v>
          </cell>
          <cell r="O92">
            <v>25.8</v>
          </cell>
          <cell r="P92" t="e">
            <v>#REF!</v>
          </cell>
          <cell r="Q92">
            <v>25.8</v>
          </cell>
          <cell r="R92">
            <v>9.7100000000000009</v>
          </cell>
        </row>
        <row r="93">
          <cell r="B93" t="str">
            <v>R.SİZ 3 MM</v>
          </cell>
          <cell r="C93">
            <v>37.906999999999996</v>
          </cell>
          <cell r="D93">
            <v>73.900000000000006</v>
          </cell>
          <cell r="E93">
            <v>53.146999999999998</v>
          </cell>
          <cell r="F93">
            <v>83.051000000000002</v>
          </cell>
          <cell r="G93">
            <v>56.765000000000001</v>
          </cell>
          <cell r="H93">
            <v>86.956999999999994</v>
          </cell>
          <cell r="I93">
            <v>64.326999999999998</v>
          </cell>
          <cell r="J93">
            <v>88.832999999999998</v>
          </cell>
          <cell r="K93">
            <v>67.965000000000003</v>
          </cell>
          <cell r="L93">
            <v>90.957999999999998</v>
          </cell>
          <cell r="M93">
            <v>53.031999999999996</v>
          </cell>
          <cell r="N93">
            <v>75.661000000000001</v>
          </cell>
          <cell r="O93">
            <v>832.50299999999993</v>
          </cell>
          <cell r="P93" t="e">
            <v>#REF!</v>
          </cell>
          <cell r="Q93">
            <v>832.50299999999993</v>
          </cell>
          <cell r="R93">
            <v>7.34</v>
          </cell>
        </row>
        <row r="94">
          <cell r="B94" t="str">
            <v>R.SİZ 4 MM</v>
          </cell>
          <cell r="C94">
            <v>59.093000000000004</v>
          </cell>
          <cell r="D94">
            <v>115.202</v>
          </cell>
          <cell r="E94">
            <v>82.85</v>
          </cell>
          <cell r="F94">
            <v>129.46799999999999</v>
          </cell>
          <cell r="G94">
            <v>88.49</v>
          </cell>
          <cell r="H94">
            <v>135.55600000000001</v>
          </cell>
          <cell r="I94">
            <v>100.279</v>
          </cell>
          <cell r="J94">
            <v>138.48099999999999</v>
          </cell>
          <cell r="K94">
            <v>105.95</v>
          </cell>
          <cell r="L94">
            <v>141.79400000000001</v>
          </cell>
          <cell r="M94">
            <v>82.671000000000006</v>
          </cell>
          <cell r="N94">
            <v>117.947</v>
          </cell>
          <cell r="O94">
            <v>1297.7809999999999</v>
          </cell>
          <cell r="P94" t="e">
            <v>#REF!</v>
          </cell>
          <cell r="Q94">
            <v>1297.7809999999999</v>
          </cell>
          <cell r="R94">
            <v>9.7100000000000009</v>
          </cell>
        </row>
        <row r="95">
          <cell r="B95" t="str">
            <v>R.SİZ 5 MM</v>
          </cell>
          <cell r="C95">
            <v>1</v>
          </cell>
          <cell r="D95">
            <v>1.9490000000000001</v>
          </cell>
          <cell r="E95">
            <v>1.4019999999999999</v>
          </cell>
          <cell r="F95">
            <v>2.1909999999999998</v>
          </cell>
          <cell r="G95">
            <v>1.4970000000000001</v>
          </cell>
          <cell r="H95">
            <v>2.294</v>
          </cell>
          <cell r="I95">
            <v>1.6970000000000001</v>
          </cell>
          <cell r="J95">
            <v>2.343</v>
          </cell>
          <cell r="K95">
            <v>1.7929999999999999</v>
          </cell>
          <cell r="L95">
            <v>2.399</v>
          </cell>
          <cell r="M95">
            <v>1.399</v>
          </cell>
          <cell r="N95">
            <v>1.996</v>
          </cell>
          <cell r="O95">
            <v>21.96</v>
          </cell>
          <cell r="P95" t="e">
            <v>#REF!</v>
          </cell>
          <cell r="Q95">
            <v>21.96</v>
          </cell>
          <cell r="R95">
            <v>12.24</v>
          </cell>
        </row>
        <row r="99">
          <cell r="Q99">
            <v>0</v>
          </cell>
        </row>
        <row r="100">
          <cell r="B100" t="str">
            <v xml:space="preserve"> (TON)</v>
          </cell>
          <cell r="C100" t="str">
            <v>OCAK</v>
          </cell>
          <cell r="D100" t="str">
            <v>SUBAT</v>
          </cell>
          <cell r="E100" t="str">
            <v>MART</v>
          </cell>
          <cell r="F100" t="str">
            <v>NISAN</v>
          </cell>
          <cell r="G100" t="str">
            <v>MAYIS</v>
          </cell>
          <cell r="H100" t="str">
            <v>HAZIRAN</v>
          </cell>
          <cell r="I100" t="str">
            <v>TEMMUZ</v>
          </cell>
          <cell r="J100" t="str">
            <v>AGUSTOS</v>
          </cell>
          <cell r="K100" t="str">
            <v>EYLUL</v>
          </cell>
          <cell r="L100" t="str">
            <v>EKIM</v>
          </cell>
          <cell r="M100" t="str">
            <v>KASIM</v>
          </cell>
          <cell r="N100" t="str">
            <v>ARALIK</v>
          </cell>
          <cell r="O100" t="str">
            <v>TOPLAM</v>
          </cell>
        </row>
        <row r="101">
          <cell r="B101" t="str">
            <v xml:space="preserve"> 2 MM</v>
          </cell>
          <cell r="O101">
            <v>0</v>
          </cell>
          <cell r="Q101">
            <v>0</v>
          </cell>
        </row>
        <row r="102">
          <cell r="B102" t="str">
            <v xml:space="preserve"> 2.2 MM</v>
          </cell>
          <cell r="O102">
            <v>0</v>
          </cell>
          <cell r="Q102">
            <v>0</v>
          </cell>
        </row>
        <row r="103">
          <cell r="B103" t="str">
            <v xml:space="preserve"> 2.5 MM</v>
          </cell>
          <cell r="O103">
            <v>0</v>
          </cell>
          <cell r="Q103">
            <v>0</v>
          </cell>
        </row>
        <row r="104">
          <cell r="B104" t="str">
            <v xml:space="preserve"> 3 MM</v>
          </cell>
          <cell r="C104">
            <v>575</v>
          </cell>
          <cell r="D104">
            <v>614</v>
          </cell>
          <cell r="E104">
            <v>871</v>
          </cell>
          <cell r="F104">
            <v>991</v>
          </cell>
          <cell r="G104">
            <v>911</v>
          </cell>
          <cell r="H104">
            <v>1188</v>
          </cell>
          <cell r="I104">
            <v>723</v>
          </cell>
          <cell r="J104">
            <v>882</v>
          </cell>
          <cell r="K104">
            <v>723</v>
          </cell>
          <cell r="L104">
            <v>922</v>
          </cell>
          <cell r="M104">
            <v>803</v>
          </cell>
          <cell r="N104">
            <v>922</v>
          </cell>
          <cell r="O104">
            <v>10125</v>
          </cell>
          <cell r="Q104">
            <v>10125</v>
          </cell>
        </row>
        <row r="105">
          <cell r="B105" t="str">
            <v xml:space="preserve"> 3.2 MM</v>
          </cell>
          <cell r="C105">
            <v>11</v>
          </cell>
          <cell r="D105">
            <v>12</v>
          </cell>
          <cell r="E105">
            <v>19</v>
          </cell>
          <cell r="F105">
            <v>21</v>
          </cell>
          <cell r="G105">
            <v>19</v>
          </cell>
          <cell r="H105">
            <v>25</v>
          </cell>
          <cell r="I105">
            <v>12</v>
          </cell>
          <cell r="J105">
            <v>16</v>
          </cell>
          <cell r="K105">
            <v>12</v>
          </cell>
          <cell r="L105">
            <v>17</v>
          </cell>
          <cell r="M105">
            <v>14</v>
          </cell>
          <cell r="N105">
            <v>17</v>
          </cell>
          <cell r="O105">
            <v>195</v>
          </cell>
          <cell r="Q105">
            <v>195</v>
          </cell>
        </row>
        <row r="106">
          <cell r="B106" t="str">
            <v xml:space="preserve"> 3.5 MM</v>
          </cell>
          <cell r="O106">
            <v>0</v>
          </cell>
          <cell r="Q106">
            <v>0</v>
          </cell>
        </row>
        <row r="107">
          <cell r="B107" t="str">
            <v xml:space="preserve"> 4 MM</v>
          </cell>
          <cell r="C107">
            <v>6319</v>
          </cell>
          <cell r="D107">
            <v>6753</v>
          </cell>
          <cell r="E107">
            <v>9577</v>
          </cell>
          <cell r="F107">
            <v>10883</v>
          </cell>
          <cell r="G107">
            <v>10014</v>
          </cell>
          <cell r="H107">
            <v>13060</v>
          </cell>
          <cell r="I107">
            <v>7961</v>
          </cell>
          <cell r="J107">
            <v>9702</v>
          </cell>
          <cell r="K107">
            <v>7961</v>
          </cell>
          <cell r="L107">
            <v>10138</v>
          </cell>
          <cell r="M107">
            <v>8831</v>
          </cell>
          <cell r="N107">
            <v>10133</v>
          </cell>
          <cell r="O107">
            <v>111332</v>
          </cell>
          <cell r="Q107">
            <v>111332</v>
          </cell>
        </row>
        <row r="108">
          <cell r="B108" t="str">
            <v xml:space="preserve"> 4.15 MM</v>
          </cell>
          <cell r="O108">
            <v>0</v>
          </cell>
          <cell r="Q108">
            <v>0</v>
          </cell>
        </row>
        <row r="109">
          <cell r="B109" t="str">
            <v xml:space="preserve"> 5 MM</v>
          </cell>
          <cell r="C109">
            <v>389</v>
          </cell>
          <cell r="D109">
            <v>414</v>
          </cell>
          <cell r="E109">
            <v>588</v>
          </cell>
          <cell r="F109">
            <v>668</v>
          </cell>
          <cell r="G109">
            <v>615</v>
          </cell>
          <cell r="H109">
            <v>802</v>
          </cell>
          <cell r="I109">
            <v>488</v>
          </cell>
          <cell r="J109">
            <v>595</v>
          </cell>
          <cell r="K109">
            <v>488</v>
          </cell>
          <cell r="L109">
            <v>622</v>
          </cell>
          <cell r="M109">
            <v>541</v>
          </cell>
          <cell r="N109">
            <v>621</v>
          </cell>
          <cell r="O109">
            <v>6831</v>
          </cell>
          <cell r="Q109">
            <v>6831</v>
          </cell>
        </row>
        <row r="110">
          <cell r="B110" t="str">
            <v xml:space="preserve"> 6 MM</v>
          </cell>
          <cell r="C110">
            <v>757</v>
          </cell>
          <cell r="D110">
            <v>807</v>
          </cell>
          <cell r="E110">
            <v>1108</v>
          </cell>
          <cell r="F110">
            <v>1259</v>
          </cell>
          <cell r="G110">
            <v>1158</v>
          </cell>
          <cell r="H110">
            <v>1511</v>
          </cell>
          <cell r="I110">
            <v>987</v>
          </cell>
          <cell r="J110">
            <v>1188</v>
          </cell>
          <cell r="K110">
            <v>987</v>
          </cell>
          <cell r="L110">
            <v>1238</v>
          </cell>
          <cell r="M110">
            <v>1087</v>
          </cell>
          <cell r="N110">
            <v>1237</v>
          </cell>
          <cell r="O110">
            <v>13324</v>
          </cell>
          <cell r="Q110">
            <v>13324</v>
          </cell>
        </row>
        <row r="111">
          <cell r="B111" t="str">
            <v xml:space="preserve"> 8 MM</v>
          </cell>
          <cell r="C111">
            <v>227</v>
          </cell>
          <cell r="D111">
            <v>243</v>
          </cell>
          <cell r="E111">
            <v>331</v>
          </cell>
          <cell r="F111">
            <v>376</v>
          </cell>
          <cell r="G111">
            <v>346</v>
          </cell>
          <cell r="H111">
            <v>451</v>
          </cell>
          <cell r="I111">
            <v>298</v>
          </cell>
          <cell r="J111">
            <v>358</v>
          </cell>
          <cell r="K111">
            <v>298</v>
          </cell>
          <cell r="L111">
            <v>373</v>
          </cell>
          <cell r="M111">
            <v>328</v>
          </cell>
          <cell r="N111">
            <v>374</v>
          </cell>
          <cell r="O111">
            <v>4003</v>
          </cell>
          <cell r="Q111">
            <v>4003</v>
          </cell>
        </row>
        <row r="112">
          <cell r="B112" t="str">
            <v>10 MM</v>
          </cell>
          <cell r="C112">
            <v>227</v>
          </cell>
          <cell r="D112">
            <v>243</v>
          </cell>
          <cell r="E112">
            <v>331</v>
          </cell>
          <cell r="F112">
            <v>376</v>
          </cell>
          <cell r="G112">
            <v>346</v>
          </cell>
          <cell r="H112">
            <v>451</v>
          </cell>
          <cell r="I112">
            <v>298</v>
          </cell>
          <cell r="J112">
            <v>358</v>
          </cell>
          <cell r="K112">
            <v>298</v>
          </cell>
          <cell r="L112">
            <v>373</v>
          </cell>
          <cell r="M112">
            <v>328</v>
          </cell>
          <cell r="N112">
            <v>374</v>
          </cell>
          <cell r="O112">
            <v>4003</v>
          </cell>
          <cell r="Q112">
            <v>4003</v>
          </cell>
        </row>
        <row r="113">
          <cell r="B113" t="str">
            <v>12 MM</v>
          </cell>
          <cell r="C113">
            <v>28</v>
          </cell>
          <cell r="D113">
            <v>30</v>
          </cell>
          <cell r="E113">
            <v>48</v>
          </cell>
          <cell r="F113">
            <v>54</v>
          </cell>
          <cell r="G113">
            <v>50</v>
          </cell>
          <cell r="H113">
            <v>65</v>
          </cell>
          <cell r="I113">
            <v>32</v>
          </cell>
          <cell r="J113">
            <v>40</v>
          </cell>
          <cell r="K113">
            <v>32</v>
          </cell>
          <cell r="L113">
            <v>43</v>
          </cell>
          <cell r="M113">
            <v>36</v>
          </cell>
          <cell r="N113">
            <v>43</v>
          </cell>
          <cell r="O113">
            <v>501</v>
          </cell>
          <cell r="Q113">
            <v>501</v>
          </cell>
        </row>
        <row r="114">
          <cell r="B114" t="str">
            <v>SERCAM</v>
          </cell>
          <cell r="C114">
            <v>15</v>
          </cell>
          <cell r="D114">
            <v>30</v>
          </cell>
          <cell r="E114">
            <v>15</v>
          </cell>
          <cell r="F114">
            <v>15</v>
          </cell>
          <cell r="G114">
            <v>45</v>
          </cell>
          <cell r="H114">
            <v>215</v>
          </cell>
          <cell r="I114">
            <v>45</v>
          </cell>
          <cell r="J114">
            <v>45</v>
          </cell>
          <cell r="K114">
            <v>205</v>
          </cell>
          <cell r="L114">
            <v>90</v>
          </cell>
          <cell r="M114">
            <v>15</v>
          </cell>
          <cell r="N114">
            <v>15</v>
          </cell>
          <cell r="O114">
            <v>750</v>
          </cell>
          <cell r="P114">
            <v>4294</v>
          </cell>
          <cell r="Q114">
            <v>750</v>
          </cell>
        </row>
        <row r="118">
          <cell r="B118" t="str">
            <v xml:space="preserve"> 2.2 MM</v>
          </cell>
          <cell r="C118">
            <v>80</v>
          </cell>
          <cell r="D118">
            <v>84</v>
          </cell>
          <cell r="E118">
            <v>98</v>
          </cell>
          <cell r="F118">
            <v>111</v>
          </cell>
          <cell r="G118">
            <v>102</v>
          </cell>
          <cell r="H118">
            <v>133</v>
          </cell>
          <cell r="I118">
            <v>120</v>
          </cell>
          <cell r="J118">
            <v>138</v>
          </cell>
          <cell r="K118">
            <v>120</v>
          </cell>
          <cell r="L118">
            <v>142</v>
          </cell>
          <cell r="M118">
            <v>129</v>
          </cell>
          <cell r="N118">
            <v>142</v>
          </cell>
          <cell r="O118">
            <v>1399</v>
          </cell>
          <cell r="Q118">
            <v>1399</v>
          </cell>
        </row>
        <row r="119">
          <cell r="B119" t="str">
            <v xml:space="preserve"> 2.5 MM</v>
          </cell>
          <cell r="C119">
            <v>29</v>
          </cell>
          <cell r="D119">
            <v>30</v>
          </cell>
          <cell r="E119">
            <v>35</v>
          </cell>
          <cell r="F119">
            <v>40</v>
          </cell>
          <cell r="G119">
            <v>37</v>
          </cell>
          <cell r="H119">
            <v>48</v>
          </cell>
          <cell r="I119">
            <v>43</v>
          </cell>
          <cell r="J119">
            <v>49</v>
          </cell>
          <cell r="K119">
            <v>43</v>
          </cell>
          <cell r="L119">
            <v>51</v>
          </cell>
          <cell r="M119">
            <v>46</v>
          </cell>
          <cell r="N119">
            <v>51</v>
          </cell>
          <cell r="O119">
            <v>502</v>
          </cell>
          <cell r="Q119">
            <v>502</v>
          </cell>
        </row>
        <row r="120">
          <cell r="B120" t="str">
            <v xml:space="preserve"> 3 MM</v>
          </cell>
          <cell r="C120">
            <v>35</v>
          </cell>
          <cell r="D120">
            <v>36</v>
          </cell>
          <cell r="E120">
            <v>42</v>
          </cell>
          <cell r="F120">
            <v>48</v>
          </cell>
          <cell r="G120">
            <v>44</v>
          </cell>
          <cell r="H120">
            <v>58</v>
          </cell>
          <cell r="I120">
            <v>52</v>
          </cell>
          <cell r="J120">
            <v>59</v>
          </cell>
          <cell r="K120">
            <v>52</v>
          </cell>
          <cell r="L120">
            <v>61</v>
          </cell>
          <cell r="M120">
            <v>55</v>
          </cell>
          <cell r="N120">
            <v>61</v>
          </cell>
          <cell r="O120">
            <v>603</v>
          </cell>
          <cell r="Q120">
            <v>603</v>
          </cell>
        </row>
        <row r="121">
          <cell r="B121" t="str">
            <v xml:space="preserve"> 3.2 MM</v>
          </cell>
          <cell r="C121">
            <v>143</v>
          </cell>
          <cell r="D121">
            <v>151</v>
          </cell>
          <cell r="E121">
            <v>174</v>
          </cell>
          <cell r="F121">
            <v>199</v>
          </cell>
          <cell r="G121">
            <v>183</v>
          </cell>
          <cell r="H121">
            <v>238</v>
          </cell>
          <cell r="I121">
            <v>214</v>
          </cell>
          <cell r="J121">
            <v>246</v>
          </cell>
          <cell r="K121">
            <v>214</v>
          </cell>
          <cell r="L121">
            <v>254</v>
          </cell>
          <cell r="M121">
            <v>230</v>
          </cell>
          <cell r="N121">
            <v>254</v>
          </cell>
          <cell r="O121">
            <v>2500</v>
          </cell>
          <cell r="Q121">
            <v>2500</v>
          </cell>
        </row>
        <row r="122">
          <cell r="B122" t="str">
            <v xml:space="preserve"> 3.5 MM</v>
          </cell>
          <cell r="C122">
            <v>29</v>
          </cell>
          <cell r="D122">
            <v>30</v>
          </cell>
          <cell r="E122">
            <v>34</v>
          </cell>
          <cell r="F122">
            <v>40</v>
          </cell>
          <cell r="G122">
            <v>37</v>
          </cell>
          <cell r="H122">
            <v>48</v>
          </cell>
          <cell r="I122">
            <v>43</v>
          </cell>
          <cell r="J122">
            <v>49</v>
          </cell>
          <cell r="K122">
            <v>43</v>
          </cell>
          <cell r="L122">
            <v>51</v>
          </cell>
          <cell r="M122">
            <v>46</v>
          </cell>
          <cell r="N122">
            <v>51</v>
          </cell>
          <cell r="O122">
            <v>501</v>
          </cell>
          <cell r="Q122">
            <v>501</v>
          </cell>
        </row>
        <row r="123">
          <cell r="B123" t="str">
            <v xml:space="preserve"> 4 MM</v>
          </cell>
          <cell r="C123">
            <v>69</v>
          </cell>
          <cell r="D123">
            <v>72</v>
          </cell>
          <cell r="E123">
            <v>83</v>
          </cell>
          <cell r="F123">
            <v>95</v>
          </cell>
          <cell r="G123">
            <v>87</v>
          </cell>
          <cell r="H123">
            <v>114</v>
          </cell>
          <cell r="I123">
            <v>103</v>
          </cell>
          <cell r="J123">
            <v>119</v>
          </cell>
          <cell r="K123">
            <v>103</v>
          </cell>
          <cell r="L123">
            <v>121</v>
          </cell>
          <cell r="M123">
            <v>110</v>
          </cell>
          <cell r="N123">
            <v>122</v>
          </cell>
          <cell r="O123">
            <v>1198</v>
          </cell>
          <cell r="Q123">
            <v>1198</v>
          </cell>
        </row>
        <row r="124">
          <cell r="B124" t="str">
            <v xml:space="preserve"> 5 MM</v>
          </cell>
          <cell r="C124">
            <v>40</v>
          </cell>
          <cell r="D124">
            <v>42</v>
          </cell>
          <cell r="E124">
            <v>49</v>
          </cell>
          <cell r="F124">
            <v>56</v>
          </cell>
          <cell r="G124">
            <v>51</v>
          </cell>
          <cell r="H124">
            <v>67</v>
          </cell>
          <cell r="I124">
            <v>60</v>
          </cell>
          <cell r="J124">
            <v>69</v>
          </cell>
          <cell r="K124">
            <v>60</v>
          </cell>
          <cell r="L124">
            <v>71</v>
          </cell>
          <cell r="M124">
            <v>64</v>
          </cell>
          <cell r="N124">
            <v>71</v>
          </cell>
          <cell r="O124">
            <v>700</v>
          </cell>
          <cell r="Q124">
            <v>700</v>
          </cell>
        </row>
        <row r="125">
          <cell r="B125" t="str">
            <v xml:space="preserve"> 5,5 MM</v>
          </cell>
          <cell r="O125">
            <v>0</v>
          </cell>
          <cell r="Q125">
            <v>0</v>
          </cell>
        </row>
        <row r="126">
          <cell r="B126" t="str">
            <v xml:space="preserve"> 6 MM</v>
          </cell>
          <cell r="C126">
            <v>35</v>
          </cell>
          <cell r="D126">
            <v>36</v>
          </cell>
          <cell r="E126">
            <v>41</v>
          </cell>
          <cell r="F126">
            <v>48</v>
          </cell>
          <cell r="G126">
            <v>44</v>
          </cell>
          <cell r="H126">
            <v>58</v>
          </cell>
          <cell r="I126">
            <v>52</v>
          </cell>
          <cell r="J126">
            <v>59</v>
          </cell>
          <cell r="K126">
            <v>52</v>
          </cell>
          <cell r="L126">
            <v>61</v>
          </cell>
          <cell r="M126">
            <v>56</v>
          </cell>
          <cell r="N126">
            <v>61</v>
          </cell>
          <cell r="O126">
            <v>603</v>
          </cell>
          <cell r="Q126">
            <v>603</v>
          </cell>
        </row>
        <row r="127">
          <cell r="B127" t="str">
            <v xml:space="preserve"> 8 MM</v>
          </cell>
          <cell r="O127">
            <v>0</v>
          </cell>
          <cell r="Q127">
            <v>0</v>
          </cell>
        </row>
        <row r="128">
          <cell r="B128" t="str">
            <v>YANSITICI</v>
          </cell>
          <cell r="C128">
            <v>69</v>
          </cell>
          <cell r="D128">
            <v>72</v>
          </cell>
          <cell r="E128">
            <v>84</v>
          </cell>
          <cell r="F128">
            <v>96</v>
          </cell>
          <cell r="G128">
            <v>89</v>
          </cell>
          <cell r="H128">
            <v>116</v>
          </cell>
          <cell r="I128">
            <v>104</v>
          </cell>
          <cell r="J128">
            <v>119</v>
          </cell>
          <cell r="K128">
            <v>104</v>
          </cell>
          <cell r="L128">
            <v>121</v>
          </cell>
          <cell r="M128">
            <v>110</v>
          </cell>
          <cell r="N128">
            <v>123</v>
          </cell>
          <cell r="O128">
            <v>1207</v>
          </cell>
          <cell r="P128">
            <v>1142</v>
          </cell>
          <cell r="Q128">
            <v>1207</v>
          </cell>
        </row>
        <row r="129">
          <cell r="B129" t="str">
            <v xml:space="preserve"> 4 MM</v>
          </cell>
          <cell r="C129">
            <v>46</v>
          </cell>
          <cell r="D129">
            <v>48</v>
          </cell>
          <cell r="E129">
            <v>56</v>
          </cell>
          <cell r="F129">
            <v>64</v>
          </cell>
          <cell r="G129">
            <v>59</v>
          </cell>
          <cell r="H129">
            <v>77</v>
          </cell>
          <cell r="I129">
            <v>69</v>
          </cell>
          <cell r="J129">
            <v>79</v>
          </cell>
          <cell r="K129">
            <v>69</v>
          </cell>
          <cell r="L129">
            <v>81</v>
          </cell>
          <cell r="M129">
            <v>74</v>
          </cell>
          <cell r="N129">
            <v>82</v>
          </cell>
          <cell r="O129">
            <v>804</v>
          </cell>
          <cell r="Q129">
            <v>804</v>
          </cell>
        </row>
        <row r="130">
          <cell r="B130" t="str">
            <v xml:space="preserve"> 5 MM</v>
          </cell>
          <cell r="O130">
            <v>0</v>
          </cell>
          <cell r="Q130">
            <v>0</v>
          </cell>
        </row>
        <row r="131">
          <cell r="B131" t="str">
            <v xml:space="preserve"> 6 MM</v>
          </cell>
          <cell r="C131">
            <v>23</v>
          </cell>
          <cell r="D131">
            <v>24</v>
          </cell>
          <cell r="E131">
            <v>28</v>
          </cell>
          <cell r="F131">
            <v>32</v>
          </cell>
          <cell r="G131">
            <v>30</v>
          </cell>
          <cell r="H131">
            <v>39</v>
          </cell>
          <cell r="I131">
            <v>35</v>
          </cell>
          <cell r="J131">
            <v>40</v>
          </cell>
          <cell r="K131">
            <v>35</v>
          </cell>
          <cell r="L131">
            <v>40</v>
          </cell>
          <cell r="M131">
            <v>36</v>
          </cell>
          <cell r="N131">
            <v>41</v>
          </cell>
          <cell r="O131">
            <v>403</v>
          </cell>
          <cell r="Q131">
            <v>403</v>
          </cell>
        </row>
        <row r="132">
          <cell r="B132" t="str">
            <v>TOPL.DÜZCAM</v>
          </cell>
          <cell r="C132">
            <v>9077</v>
          </cell>
          <cell r="D132">
            <v>9699</v>
          </cell>
          <cell r="E132">
            <v>13528</v>
          </cell>
          <cell r="F132">
            <v>15376</v>
          </cell>
          <cell r="G132">
            <v>14178</v>
          </cell>
          <cell r="H132">
            <v>18648</v>
          </cell>
          <cell r="I132">
            <v>11635</v>
          </cell>
          <cell r="J132">
            <v>14091</v>
          </cell>
          <cell r="K132">
            <v>11795</v>
          </cell>
          <cell r="L132">
            <v>14749</v>
          </cell>
          <cell r="M132">
            <v>12829</v>
          </cell>
          <cell r="N132">
            <v>14672</v>
          </cell>
          <cell r="O132">
            <v>160277</v>
          </cell>
          <cell r="P132">
            <v>167311</v>
          </cell>
          <cell r="Q132">
            <v>160277</v>
          </cell>
        </row>
        <row r="133">
          <cell r="B133" t="str">
            <v>LAMİNE</v>
          </cell>
          <cell r="C133">
            <v>248</v>
          </cell>
          <cell r="D133">
            <v>313</v>
          </cell>
          <cell r="E133">
            <v>248</v>
          </cell>
          <cell r="F133">
            <v>417</v>
          </cell>
          <cell r="G133">
            <v>313</v>
          </cell>
          <cell r="H133">
            <v>417</v>
          </cell>
          <cell r="I133">
            <v>387</v>
          </cell>
          <cell r="J133">
            <v>460</v>
          </cell>
          <cell r="K133">
            <v>387</v>
          </cell>
          <cell r="L133">
            <v>460</v>
          </cell>
          <cell r="M133">
            <v>313</v>
          </cell>
          <cell r="N133">
            <v>417</v>
          </cell>
          <cell r="O133">
            <v>4380</v>
          </cell>
          <cell r="P133">
            <v>4396</v>
          </cell>
          <cell r="Q133">
            <v>4380</v>
          </cell>
        </row>
        <row r="134">
          <cell r="B134" t="str">
            <v>3+3 rz</v>
          </cell>
          <cell r="C134">
            <v>34</v>
          </cell>
          <cell r="D134">
            <v>42</v>
          </cell>
          <cell r="E134">
            <v>34</v>
          </cell>
          <cell r="F134">
            <v>57</v>
          </cell>
          <cell r="G134">
            <v>42</v>
          </cell>
          <cell r="H134">
            <v>57</v>
          </cell>
          <cell r="I134">
            <v>53</v>
          </cell>
          <cell r="J134">
            <v>62</v>
          </cell>
          <cell r="K134">
            <v>53</v>
          </cell>
          <cell r="L134">
            <v>62</v>
          </cell>
          <cell r="M134">
            <v>42</v>
          </cell>
          <cell r="N134">
            <v>57</v>
          </cell>
          <cell r="O134">
            <v>595</v>
          </cell>
          <cell r="Q134">
            <v>595</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uidance "/>
      <sheetName val="CMA Calculations"/>
      <sheetName val="CMA Selections"/>
      <sheetName val="Alternative sample sizes"/>
      <sheetName val="Tickmarks"/>
      <sheetName val="CMA_SampleDesign"/>
      <sheetName val="DialogInsert"/>
    </sheetNames>
    <sheetDataSet>
      <sheetData sheetId="0" refreshError="1"/>
      <sheetData sheetId="1">
        <row r="17">
          <cell r="F17" t="e">
            <v>#DIV/0!</v>
          </cell>
        </row>
      </sheetData>
      <sheetData sheetId="2" refreshError="1"/>
      <sheetData sheetId="3"/>
      <sheetData sheetId="4" refreshError="1"/>
      <sheetData sheetId="5" refreshError="1"/>
      <sheetData sheetId="6"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Working Monbat Subsidiaries"/>
      <sheetName val="справка №1-БАЛАНС"/>
      <sheetName val="справка №2-ОТЧЕТ ЗА ДОХОДИТЕ"/>
      <sheetName val="Обединени Общо_BS_IS_31.12.2013"/>
      <sheetName val="OPP_Обединен_31.12.2013"/>
      <sheetName val="Елиминационни статии_разделени"/>
      <sheetName val="Апортна Вноска в Капитала"/>
      <sheetName val="Корекция номер 30"/>
      <sheetName val="mon_monris"/>
      <sheetName val="elem_2012"/>
      <sheetName val="ELIMIN_2013"/>
      <sheetName val="Maлцинествено участие_Изчисл."/>
      <sheetName val="Monbat_start"/>
      <sheetName val="Свързани лица_31.12.2013"/>
      <sheetName val="Свързани лица_Равнение"/>
      <sheetName val="YUMONBAT"/>
      <sheetName val="MONRIS"/>
      <sheetName val="MONBAT"/>
      <sheetName val="START"/>
      <sheetName val="OCTA"/>
      <sheetName val="yu monbat_31.12.2012"/>
      <sheetName val="SERBIA"/>
      <sheetName val="serbia_31.12.2012"/>
      <sheetName val="ROMOOD"/>
      <sheetName val="rom ood_31.12.2012"/>
      <sheetName val="MONRISROM"/>
      <sheetName val="monrisrom_31.12.2012"/>
      <sheetName val="OBOR"/>
      <sheetName val="OBEDINENI"/>
      <sheetName val="DM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Working Monbat Subsidiaries"/>
      <sheetName val="справка №1-БАЛАНС"/>
      <sheetName val="справка №2-ОТЧЕТ ЗА ДОХОДИТЕ"/>
      <sheetName val="Обединени Общо_BS_IS_31.12.2013"/>
      <sheetName val="OPP_Обединен_31.12.2013"/>
      <sheetName val="Елиминационни статии_разделени"/>
      <sheetName val="Апортна Вноска в Капитала"/>
      <sheetName val="Корекция номер 30"/>
      <sheetName val="mon_monris"/>
      <sheetName val="elem_2012"/>
      <sheetName val="ELIMIN_2013"/>
      <sheetName val="Maлцинествено участие_Изчисл."/>
      <sheetName val="Monbat_start"/>
      <sheetName val="Свързани лица_31.12.2013"/>
      <sheetName val="Свързани лица_Равнение"/>
      <sheetName val="YUMONBAT"/>
      <sheetName val="MONRIS"/>
      <sheetName val="MONBAT"/>
      <sheetName val="START"/>
      <sheetName val="OCTA"/>
      <sheetName val="yu monbat_31.12.2012"/>
      <sheetName val="SERBIA"/>
      <sheetName val="serbia_31.12.2012"/>
      <sheetName val="ROMOOD"/>
      <sheetName val="rom ood_31.12.2012"/>
      <sheetName val="MONRISROM"/>
      <sheetName val="monrisrom_31.12.2012"/>
      <sheetName val="OBOR"/>
      <sheetName val="OBEDINENI"/>
      <sheetName val="DM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Working Monbat Subsidiaries"/>
      <sheetName val="справка №1-БАЛАНС"/>
      <sheetName val="справка №2-ОТЧЕТ ЗА ДОХОДИТЕ"/>
      <sheetName val="Обединени Общо_BS_IS_31.12.2013"/>
      <sheetName val="OPP_Обединен_31.12.2013"/>
      <sheetName val="Елиминационни статии_разделени"/>
      <sheetName val="Апортна Вноска в Капитала"/>
      <sheetName val="Корекция номер 30"/>
      <sheetName val="mon_monris"/>
      <sheetName val="elem_2012"/>
      <sheetName val="ELIMIN_2013"/>
      <sheetName val="Maлцинествено участие_Изчисл."/>
      <sheetName val="Monbat_start"/>
      <sheetName val="Свързани лица_31.12.2013"/>
      <sheetName val="Свързани лица_Равнение"/>
      <sheetName val="YUMONBAT"/>
      <sheetName val="MONRIS"/>
      <sheetName val="MONBAT"/>
      <sheetName val="START"/>
      <sheetName val="OCTA"/>
      <sheetName val="yu monbat_31.12.2012"/>
      <sheetName val="SERBIA"/>
      <sheetName val="serbia_31.12.2012"/>
      <sheetName val="ROMOOD"/>
      <sheetName val="rom ood_31.12.2012"/>
      <sheetName val="MONRISROM"/>
      <sheetName val="monrisrom_31.12.2012"/>
      <sheetName val="OBOR"/>
      <sheetName val="OBEDINENI"/>
      <sheetName val="DM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Working Monbat Subsidiaries"/>
      <sheetName val="справка №1-БАЛАНС"/>
      <sheetName val="справка №2-ОТЧЕТ ЗА ДОХОДИТЕ"/>
      <sheetName val="Обединени Общо_BS_IS_31.12.2013"/>
      <sheetName val="OPP_Обединен_31.12.2013"/>
      <sheetName val="Елиминационни статии_разделени"/>
      <sheetName val="Апортна Вноска в Капитала"/>
      <sheetName val="Корекция номер 30"/>
      <sheetName val="mon_monris"/>
      <sheetName val="elem_2012"/>
      <sheetName val="ELIMIN_2013"/>
      <sheetName val="Maлцинествено участие_Изчисл."/>
      <sheetName val="Monbat_start"/>
      <sheetName val="Свързани лица_31.12.2013"/>
      <sheetName val="Свързани лица_Равнение"/>
      <sheetName val="YUMONBAT"/>
      <sheetName val="MONRIS"/>
      <sheetName val="MONBAT"/>
      <sheetName val="START"/>
      <sheetName val="OCTA"/>
      <sheetName val="yu monbat_31.12.2012"/>
      <sheetName val="SERBIA"/>
      <sheetName val="serbia_31.12.2012"/>
      <sheetName val="ROMOOD"/>
      <sheetName val="rom ood_31.12.2012"/>
      <sheetName val="MONRISROM"/>
      <sheetName val="monrisrom_31.12.2012"/>
      <sheetName val="OBOR"/>
      <sheetName val="OBEDINENI"/>
      <sheetName val="DM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_OPTUN"/>
      <sheetName val="Sheet1"/>
      <sheetName val="Sheet2"/>
      <sheetName val="N_OPTUN final"/>
      <sheetName val="ex rate"/>
      <sheetName val="E.AFFAIRS"/>
      <sheetName val="payroll tech"/>
      <sheetName val="N_ACCTUN"/>
      <sheetName val="capacité"/>
      <sheetName val="VS"/>
      <sheetName val="VH"/>
      <sheetName val="VENR"/>
      <sheetName val="VEND"/>
      <sheetName val="Energie"/>
      <sheetName val="TOP01"/>
      <sheetName val="OPTUN"/>
      <sheetName val="ex_rate"/>
      <sheetName val="N_OPTUN_final"/>
      <sheetName val="E_AFFAIRS"/>
      <sheetName val="payroll_tech"/>
      <sheetName val="Notes aux E.F. Actif"/>
      <sheetName val="Notes aux E.F. Passif"/>
      <sheetName val="13-Paramètres &amp; Calculs"/>
      <sheetName val="Notes aux E.F. Résultat"/>
      <sheetName val="Compte d'exploitation détaillé"/>
      <sheetName val="15-bs_Niveau"/>
      <sheetName val="Compte de régularisation"/>
      <sheetName val="Division et Couverture des R"/>
      <sheetName val="I. Classification des Engagemen"/>
      <sheetName val="Notes Flux de trésorerie"/>
      <sheetName val="Notes Engagements HB"/>
      <sheetName val="Notes aux E. F. Impôt"/>
      <sheetName val="Balance"/>
      <sheetName val="14-Listes mois"/>
      <sheetName val="Liste des notes"/>
      <sheetName val="11-Détails généraux"/>
      <sheetName val="ex_rate1"/>
      <sheetName val="N_OPTUN_final1"/>
      <sheetName val="E_AFFAIRS1"/>
      <sheetName val="payroll_tech1"/>
      <sheetName val="ex_rate2"/>
      <sheetName val="N_OPTUN_final2"/>
      <sheetName val="E_AFFAIRS2"/>
      <sheetName val="payroll_tech2"/>
      <sheetName val="ex_rate3"/>
      <sheetName val="N_OPTUN_final3"/>
      <sheetName val="E_AFFAIRS3"/>
      <sheetName val="payroll_tech3"/>
      <sheetName val="Notes_aux_E_F__Actif"/>
      <sheetName val="Notes_aux_E_F__Passif"/>
      <sheetName val="13-Paramètres_&amp;_Calculs"/>
      <sheetName val="Notes_aux_E_F__Résultat"/>
      <sheetName val="Compte_d'exploitation_détaillé"/>
      <sheetName val="Compte_de_régularisation"/>
      <sheetName val="Division_et_Couverture_des_R"/>
      <sheetName val="I__Classification_des_Engagemen"/>
      <sheetName val="Notes_Flux_de_trésorerie"/>
      <sheetName val="Notes_Engagements_HB"/>
      <sheetName val="Notes_aux_E__F__Impôt"/>
      <sheetName val="14-Listes_mois"/>
      <sheetName val="Liste_des_notes"/>
      <sheetName val="11-Détails_généraux"/>
      <sheetName val="Tréso"/>
      <sheetName val="TAB7"/>
      <sheetName val="TAB2LU"/>
      <sheetName val="PlanComptable"/>
      <sheetName val="INPUT"/>
      <sheetName val="ex_rate7"/>
      <sheetName val="ex_rate9"/>
      <sheetName val="N_OPTUN_final7"/>
      <sheetName val="E_AFFAIRS7"/>
      <sheetName val="payroll_tech7"/>
      <sheetName val="Notes_aux_E_F__Actif5"/>
      <sheetName val="Notes_aux_E_F__Passif5"/>
      <sheetName val="13-Paramètres_&amp;_Calculs5"/>
      <sheetName val="Notes_aux_E_F__Résultat5"/>
      <sheetName val="Compte_d'exploitation_détaillé5"/>
      <sheetName val="Compte_de_régularisation5"/>
      <sheetName val="Division_et_Couverture_des_R5"/>
      <sheetName val="I__Classification_des_Engageme5"/>
      <sheetName val="Notes_Flux_de_trésorerie5"/>
      <sheetName val="Notes_Engagements_HB5"/>
      <sheetName val="Notes_aux_E__F__Impôt5"/>
      <sheetName val="14-Listes_mois5"/>
      <sheetName val="Liste_des_notes5"/>
      <sheetName val="11-Détails_généraux5"/>
      <sheetName val="ex_rate4"/>
      <sheetName val="Notes_aux_E_F__Actif1"/>
      <sheetName val="Notes_aux_E_F__Passif1"/>
      <sheetName val="13-Paramètres_&amp;_Calculs1"/>
      <sheetName val="Notes_aux_E_F__Résultat1"/>
      <sheetName val="Compte_d'exploitation_détaillé1"/>
      <sheetName val="Compte_de_régularisation1"/>
      <sheetName val="Division_et_Couverture_des_R1"/>
      <sheetName val="I__Classification_des_Engageme1"/>
      <sheetName val="Notes_Flux_de_trésorerie1"/>
      <sheetName val="Notes_Engagements_HB1"/>
      <sheetName val="Notes_aux_E__F__Impôt1"/>
      <sheetName val="14-Listes_mois1"/>
      <sheetName val="Liste_des_notes1"/>
      <sheetName val="11-Détails_généraux1"/>
      <sheetName val="ex_rate5"/>
      <sheetName val="ex_rate6"/>
      <sheetName val="N_OPTUN_final4"/>
      <sheetName val="E_AFFAIRS4"/>
      <sheetName val="payroll_tech4"/>
      <sheetName val="Notes_aux_E_F__Actif2"/>
      <sheetName val="Notes_aux_E_F__Passif2"/>
      <sheetName val="13-Paramètres_&amp;_Calculs2"/>
      <sheetName val="Notes_aux_E_F__Résultat2"/>
      <sheetName val="Compte_d'exploitation_détaillé2"/>
      <sheetName val="Compte_de_régularisation2"/>
      <sheetName val="Division_et_Couverture_des_R2"/>
      <sheetName val="I__Classification_des_Engageme2"/>
      <sheetName val="Notes_Flux_de_trésorerie2"/>
      <sheetName val="Notes_Engagements_HB2"/>
      <sheetName val="Notes_aux_E__F__Impôt2"/>
      <sheetName val="14-Listes_mois2"/>
      <sheetName val="Liste_des_notes2"/>
      <sheetName val="11-Détails_généraux2"/>
      <sheetName val="N_OPTUN_final5"/>
      <sheetName val="E_AFFAIRS5"/>
      <sheetName val="payroll_tech5"/>
      <sheetName val="Notes_aux_E_F__Actif3"/>
      <sheetName val="Notes_aux_E_F__Passif3"/>
      <sheetName val="13-Paramètres_&amp;_Calculs3"/>
      <sheetName val="Notes_aux_E_F__Résultat3"/>
      <sheetName val="Compte_d'exploitation_détaillé3"/>
      <sheetName val="Compte_de_régularisation3"/>
      <sheetName val="Division_et_Couverture_des_R3"/>
      <sheetName val="I__Classification_des_Engageme3"/>
      <sheetName val="Notes_Flux_de_trésorerie3"/>
      <sheetName val="Notes_Engagements_HB3"/>
      <sheetName val="Notes_aux_E__F__Impôt3"/>
      <sheetName val="14-Listes_mois3"/>
      <sheetName val="Liste_des_notes3"/>
      <sheetName val="11-Détails_généraux3"/>
      <sheetName val="ex_rate8"/>
      <sheetName val="N_OPTUN_final6"/>
      <sheetName val="E_AFFAIRS6"/>
      <sheetName val="payroll_tech6"/>
      <sheetName val="Notes_aux_E_F__Actif4"/>
      <sheetName val="Notes_aux_E_F__Passif4"/>
      <sheetName val="13-Paramètres_&amp;_Calculs4"/>
      <sheetName val="Notes_aux_E_F__Résultat4"/>
      <sheetName val="Compte_d'exploitation_détaillé4"/>
      <sheetName val="Compte_de_régularisation4"/>
      <sheetName val="Division_et_Couverture_des_R4"/>
      <sheetName val="I__Classification_des_Engageme4"/>
      <sheetName val="Notes_Flux_de_trésorerie4"/>
      <sheetName val="Notes_Engagements_HB4"/>
      <sheetName val="Notes_aux_E__F__Impôt4"/>
      <sheetName val="14-Listes_mois4"/>
      <sheetName val="Liste_des_notes4"/>
      <sheetName val="11-Détails_généraux4"/>
      <sheetName val="Paramètres"/>
      <sheetName val="Retenues Fournisseurs 2005 CS"/>
    </sheetNames>
    <sheetDataSet>
      <sheetData sheetId="0"/>
      <sheetData sheetId="1"/>
      <sheetData sheetId="2"/>
      <sheetData sheetId="3"/>
      <sheetData sheetId="4" refreshError="1">
        <row r="2">
          <cell r="B2" t="str">
            <v>month</v>
          </cell>
          <cell r="C2" t="str">
            <v>rate</v>
          </cell>
        </row>
        <row r="3">
          <cell r="B3">
            <v>1</v>
          </cell>
          <cell r="C3">
            <v>1.4612499999999999</v>
          </cell>
        </row>
        <row r="4">
          <cell r="B4">
            <v>2</v>
          </cell>
          <cell r="C4">
            <v>1.4721</v>
          </cell>
        </row>
        <row r="5">
          <cell r="B5">
            <v>3</v>
          </cell>
          <cell r="C5">
            <v>1.47315</v>
          </cell>
        </row>
        <row r="6">
          <cell r="B6">
            <v>4</v>
          </cell>
          <cell r="C6">
            <v>1.4903</v>
          </cell>
        </row>
        <row r="7">
          <cell r="B7">
            <v>5</v>
          </cell>
          <cell r="C7">
            <v>1.4620500000000001</v>
          </cell>
        </row>
        <row r="8">
          <cell r="B8">
            <v>6</v>
          </cell>
          <cell r="C8">
            <v>1.4442999999999999</v>
          </cell>
        </row>
        <row r="9">
          <cell r="B9">
            <v>7</v>
          </cell>
          <cell r="C9">
            <v>1.3713</v>
          </cell>
        </row>
        <row r="10">
          <cell r="B10">
            <v>8</v>
          </cell>
          <cell r="C10">
            <v>1.3714999999999999</v>
          </cell>
        </row>
        <row r="11">
          <cell r="B11">
            <v>9</v>
          </cell>
          <cell r="C11">
            <v>1.37435</v>
          </cell>
        </row>
        <row r="12">
          <cell r="B12">
            <v>10</v>
          </cell>
          <cell r="C12">
            <v>1.3878999999999999</v>
          </cell>
        </row>
        <row r="13">
          <cell r="B13">
            <v>11</v>
          </cell>
          <cell r="C13">
            <v>1.3916999999999999</v>
          </cell>
        </row>
        <row r="14">
          <cell r="B14">
            <v>12</v>
          </cell>
          <cell r="C14">
            <v>1.3791500000000001</v>
          </cell>
        </row>
      </sheetData>
      <sheetData sheetId="5"/>
      <sheetData sheetId="6"/>
      <sheetData sheetId="7" refreshError="1">
        <row r="12">
          <cell r="A12">
            <v>1114</v>
          </cell>
          <cell r="B12">
            <v>900</v>
          </cell>
          <cell r="C12" t="str">
            <v>BANK ACCOUNT - DOLLARS</v>
          </cell>
        </row>
        <row r="13">
          <cell r="A13">
            <v>1134</v>
          </cell>
          <cell r="B13">
            <v>11</v>
          </cell>
          <cell r="C13" t="str">
            <v>BANK ACCOUNT - DINARS</v>
          </cell>
        </row>
        <row r="14">
          <cell r="A14">
            <v>1136</v>
          </cell>
          <cell r="B14">
            <v>900</v>
          </cell>
          <cell r="C14" t="str">
            <v>PETTY CASH FLOAT</v>
          </cell>
        </row>
        <row r="15">
          <cell r="A15">
            <v>1250</v>
          </cell>
          <cell r="B15">
            <v>0</v>
          </cell>
          <cell r="C15" t="str">
            <v>ACCOUNTS RECEIVABLE</v>
          </cell>
        </row>
        <row r="16">
          <cell r="A16">
            <v>1490</v>
          </cell>
          <cell r="B16">
            <v>0</v>
          </cell>
          <cell r="C16" t="str">
            <v>PREPAYMENTS</v>
          </cell>
        </row>
        <row r="17">
          <cell r="A17">
            <v>149001</v>
          </cell>
          <cell r="B17">
            <v>0</v>
          </cell>
          <cell r="C17" t="str">
            <v>PREPAYMENTS</v>
          </cell>
        </row>
        <row r="18">
          <cell r="A18">
            <v>1603</v>
          </cell>
          <cell r="B18">
            <v>650</v>
          </cell>
          <cell r="C18" t="str">
            <v>EMPLOYEE TRAVEL ADVANCES</v>
          </cell>
        </row>
        <row r="19">
          <cell r="A19">
            <v>1603</v>
          </cell>
          <cell r="B19">
            <v>900</v>
          </cell>
          <cell r="C19" t="str">
            <v>EMPLOYEE TRAVEL ADVANCES</v>
          </cell>
        </row>
        <row r="20">
          <cell r="A20" t="str">
            <v>1603AHMA</v>
          </cell>
          <cell r="B20">
            <v>900</v>
          </cell>
          <cell r="C20" t="str">
            <v>AHMED CHOUCH - TRAVEL ADVANCE.</v>
          </cell>
        </row>
        <row r="21">
          <cell r="A21" t="str">
            <v>1603AOUA</v>
          </cell>
          <cell r="B21">
            <v>900</v>
          </cell>
          <cell r="C21" t="str">
            <v>M. AOUIDIDI - ADVANCE</v>
          </cell>
        </row>
        <row r="22">
          <cell r="A22" t="str">
            <v>1603AOUC</v>
          </cell>
          <cell r="B22">
            <v>900</v>
          </cell>
          <cell r="C22" t="str">
            <v>M.AOUIDIDI.PAID BY CO .</v>
          </cell>
        </row>
        <row r="23">
          <cell r="A23" t="str">
            <v>1603ASHA</v>
          </cell>
          <cell r="B23">
            <v>900</v>
          </cell>
          <cell r="C23" t="str">
            <v>E. ASHKAR - TRAVEL ADVANCE</v>
          </cell>
        </row>
        <row r="24">
          <cell r="A24" t="str">
            <v>1603ASHC</v>
          </cell>
          <cell r="B24">
            <v>900</v>
          </cell>
          <cell r="C24" t="str">
            <v>E. ASHKAR - PAID BY CO.</v>
          </cell>
        </row>
        <row r="25">
          <cell r="A25" t="str">
            <v>1603BAHA</v>
          </cell>
          <cell r="B25">
            <v>900</v>
          </cell>
          <cell r="C25" t="str">
            <v>M. BAHRI - TRAVEL ADVANCE</v>
          </cell>
        </row>
        <row r="26">
          <cell r="A26" t="str">
            <v>1603BAHC</v>
          </cell>
          <cell r="B26">
            <v>900</v>
          </cell>
          <cell r="C26" t="str">
            <v>M. BAHRI - PAID BY CO.</v>
          </cell>
        </row>
        <row r="27">
          <cell r="A27" t="str">
            <v>1603BEDA</v>
          </cell>
          <cell r="B27">
            <v>900</v>
          </cell>
          <cell r="C27" t="str">
            <v>L. BEDIRI - TRAVEL ADVANCE</v>
          </cell>
        </row>
        <row r="28">
          <cell r="A28" t="str">
            <v>1603BEDC</v>
          </cell>
          <cell r="B28">
            <v>900</v>
          </cell>
          <cell r="C28" t="str">
            <v>L. BEDIRI - PAID BY CO.</v>
          </cell>
        </row>
        <row r="29">
          <cell r="A29" t="str">
            <v>1603BENA</v>
          </cell>
          <cell r="B29">
            <v>900</v>
          </cell>
          <cell r="C29" t="str">
            <v>N.BENGUESMLA .TRAVEL ADVANCE</v>
          </cell>
        </row>
        <row r="30">
          <cell r="A30" t="str">
            <v>1603BENC</v>
          </cell>
          <cell r="B30">
            <v>900</v>
          </cell>
          <cell r="C30" t="str">
            <v>N.BENGUESMIA - PAID BY CO.</v>
          </cell>
        </row>
        <row r="31">
          <cell r="A31" t="str">
            <v>1603BERA</v>
          </cell>
          <cell r="B31">
            <v>900</v>
          </cell>
          <cell r="C31" t="str">
            <v>A. BERRAIES - TRAVEL ADVANCE</v>
          </cell>
        </row>
        <row r="32">
          <cell r="A32" t="str">
            <v>1603BOUA</v>
          </cell>
          <cell r="B32">
            <v>0</v>
          </cell>
          <cell r="C32" t="str">
            <v>S.BOUGHARRAF-TRAVEL ADVANCE</v>
          </cell>
        </row>
        <row r="33">
          <cell r="A33" t="str">
            <v>1603BOUA</v>
          </cell>
          <cell r="B33">
            <v>900</v>
          </cell>
          <cell r="C33" t="str">
            <v>S.BOUGHARRAF-TRAVEL ADVANCE</v>
          </cell>
        </row>
        <row r="34">
          <cell r="A34" t="str">
            <v>1603BOUC</v>
          </cell>
          <cell r="B34">
            <v>900</v>
          </cell>
          <cell r="C34" t="str">
            <v>S.BOUGHARRAF- PAID BY CO .</v>
          </cell>
        </row>
        <row r="35">
          <cell r="A35" t="str">
            <v>1603CARA</v>
          </cell>
          <cell r="B35">
            <v>900</v>
          </cell>
          <cell r="C35" t="str">
            <v>F. CARVALHO - TRAVEL ADVANCE</v>
          </cell>
        </row>
        <row r="36">
          <cell r="A36" t="str">
            <v>1603CARC</v>
          </cell>
          <cell r="B36">
            <v>900</v>
          </cell>
          <cell r="C36" t="str">
            <v>F. CARVALHO -PAID BY CO.</v>
          </cell>
        </row>
        <row r="37">
          <cell r="A37" t="str">
            <v>1603CHAA</v>
          </cell>
          <cell r="B37">
            <v>900</v>
          </cell>
          <cell r="C37" t="str">
            <v>M.CHAIB - TRAVEL ADVANCE</v>
          </cell>
        </row>
        <row r="38">
          <cell r="A38" t="str">
            <v>1603CHEA</v>
          </cell>
          <cell r="B38">
            <v>900</v>
          </cell>
          <cell r="C38" t="str">
            <v>M. CHERIF - TRAVEL ADVANCE</v>
          </cell>
        </row>
        <row r="39">
          <cell r="A39" t="str">
            <v>1603CHEC</v>
          </cell>
          <cell r="B39">
            <v>900</v>
          </cell>
          <cell r="C39" t="str">
            <v>M. CHERIF - PAID BY CO.</v>
          </cell>
        </row>
        <row r="40">
          <cell r="A40" t="str">
            <v>1603COUA</v>
          </cell>
          <cell r="B40">
            <v>900</v>
          </cell>
          <cell r="C40" t="str">
            <v>A.COURSON - TRAVEL ADVANCE</v>
          </cell>
        </row>
        <row r="41">
          <cell r="A41" t="str">
            <v>1603DOUA</v>
          </cell>
          <cell r="B41">
            <v>900</v>
          </cell>
          <cell r="C41" t="str">
            <v>N.DOUBIANI TRAVEL ADVANCE</v>
          </cell>
        </row>
        <row r="42">
          <cell r="A42" t="str">
            <v>1603DOUC</v>
          </cell>
          <cell r="B42">
            <v>900</v>
          </cell>
          <cell r="C42" t="str">
            <v>N.DOUBIANI - PAID BY CO.</v>
          </cell>
        </row>
        <row r="43">
          <cell r="A43" t="str">
            <v>1603ELAA</v>
          </cell>
          <cell r="B43">
            <v>900</v>
          </cell>
          <cell r="C43" t="str">
            <v>B.EL AMIRI - TRAVEL ADVANCE</v>
          </cell>
        </row>
        <row r="44">
          <cell r="A44" t="str">
            <v>1603GHEA</v>
          </cell>
          <cell r="B44">
            <v>900</v>
          </cell>
          <cell r="C44" t="str">
            <v>B. GHERIB - TRAVEL ADVANCE</v>
          </cell>
        </row>
        <row r="45">
          <cell r="A45" t="str">
            <v>1603GHEC</v>
          </cell>
          <cell r="B45">
            <v>900</v>
          </cell>
          <cell r="C45" t="str">
            <v>B.GHERIB - PAID BY CO.</v>
          </cell>
        </row>
        <row r="46">
          <cell r="A46" t="str">
            <v>1603GIRA</v>
          </cell>
          <cell r="B46">
            <v>900</v>
          </cell>
          <cell r="C46" t="str">
            <v>R. GIROUX - TRAVEL ADVANCE</v>
          </cell>
        </row>
        <row r="47">
          <cell r="A47" t="str">
            <v>1603GIRC</v>
          </cell>
          <cell r="B47">
            <v>900</v>
          </cell>
          <cell r="C47" t="str">
            <v>R. GIROUX - PAID BY CO.</v>
          </cell>
        </row>
        <row r="48">
          <cell r="A48" t="str">
            <v>1603GORA</v>
          </cell>
          <cell r="B48">
            <v>900</v>
          </cell>
          <cell r="C48" t="str">
            <v>S. GORDAH - TRAVEL ADVANCE</v>
          </cell>
        </row>
        <row r="49">
          <cell r="A49" t="str">
            <v>1603GORC</v>
          </cell>
          <cell r="B49">
            <v>900</v>
          </cell>
          <cell r="C49" t="str">
            <v>S. GORDAH - PAID BY CO.</v>
          </cell>
        </row>
        <row r="50">
          <cell r="A50" t="str">
            <v>1603GOUA</v>
          </cell>
          <cell r="B50">
            <v>900</v>
          </cell>
          <cell r="C50" t="str">
            <v>P.GOUYET - TRAVEL ADVANCE</v>
          </cell>
        </row>
        <row r="51">
          <cell r="A51" t="str">
            <v>1603GOUC</v>
          </cell>
          <cell r="B51">
            <v>900</v>
          </cell>
          <cell r="C51" t="str">
            <v>P.GOUYET PAID BY CO .</v>
          </cell>
        </row>
        <row r="52">
          <cell r="A52" t="str">
            <v>1603GUEA</v>
          </cell>
          <cell r="B52">
            <v>900</v>
          </cell>
          <cell r="C52" t="str">
            <v>D.GUEMGHAR - TRAVEL ADVANCE</v>
          </cell>
        </row>
        <row r="53">
          <cell r="A53" t="str">
            <v>1603GUIA</v>
          </cell>
          <cell r="B53">
            <v>900</v>
          </cell>
          <cell r="C53" t="str">
            <v>R.GUIRAGOSIAN - Travel Advance</v>
          </cell>
        </row>
        <row r="54">
          <cell r="A54" t="str">
            <v>1603GUIC</v>
          </cell>
          <cell r="B54">
            <v>900</v>
          </cell>
          <cell r="C54" t="str">
            <v>R.Guiragossian .Paid by Co.</v>
          </cell>
        </row>
        <row r="55">
          <cell r="A55" t="str">
            <v>1603HALA</v>
          </cell>
          <cell r="B55">
            <v>900</v>
          </cell>
          <cell r="C55" t="str">
            <v>H.EL YOUNSI - TRAVEL ADVANCE</v>
          </cell>
        </row>
        <row r="56">
          <cell r="A56" t="str">
            <v>1603HALC</v>
          </cell>
          <cell r="B56">
            <v>900</v>
          </cell>
          <cell r="C56" t="str">
            <v>H.YOUNSI. PAID BY CO .</v>
          </cell>
        </row>
        <row r="57">
          <cell r="A57" t="str">
            <v>1603HASA</v>
          </cell>
          <cell r="B57">
            <v>900</v>
          </cell>
          <cell r="C57" t="str">
            <v>BADIA HASNI - TRAVEL ADVANCE</v>
          </cell>
        </row>
        <row r="58">
          <cell r="A58" t="str">
            <v>1603IRAA</v>
          </cell>
          <cell r="B58">
            <v>900</v>
          </cell>
          <cell r="C58" t="str">
            <v>Y.IRAKI .TRAVEL ADVANCE</v>
          </cell>
        </row>
        <row r="59">
          <cell r="A59" t="str">
            <v>1603IRAC</v>
          </cell>
          <cell r="B59">
            <v>900</v>
          </cell>
          <cell r="C59" t="str">
            <v>Y.TRAKI.PAID BY CO.</v>
          </cell>
        </row>
        <row r="60">
          <cell r="A60" t="str">
            <v>1603KOUA</v>
          </cell>
          <cell r="B60">
            <v>900</v>
          </cell>
          <cell r="C60" t="str">
            <v>K. KOUKI - TRAVEL ADVANCE</v>
          </cell>
        </row>
        <row r="61">
          <cell r="A61" t="str">
            <v>_x000C_</v>
          </cell>
        </row>
        <row r="62">
          <cell r="A62" t="str">
            <v>Beverage</v>
          </cell>
          <cell r="B62" t="str">
            <v>Servi</v>
          </cell>
          <cell r="C62" t="str">
            <v>ces Tunisia                  List</v>
          </cell>
        </row>
        <row r="64">
          <cell r="B64" t="str">
            <v>Cost</v>
          </cell>
        </row>
        <row r="65">
          <cell r="A65" t="str">
            <v>Account</v>
          </cell>
          <cell r="B65" t="str">
            <v>Centr</v>
          </cell>
          <cell r="C65" t="str">
            <v>e</v>
          </cell>
        </row>
        <row r="66">
          <cell r="A66" t="str">
            <v>-------</v>
          </cell>
          <cell r="B66" t="str">
            <v>-----</v>
          </cell>
          <cell r="C66" t="str">
            <v>-</v>
          </cell>
        </row>
        <row r="68">
          <cell r="A68" t="str">
            <v>1603KOUC</v>
          </cell>
          <cell r="B68">
            <v>900</v>
          </cell>
          <cell r="C68" t="str">
            <v>K.KOUKI - PAID BY CO.</v>
          </cell>
        </row>
        <row r="69">
          <cell r="A69" t="str">
            <v>1603LADA</v>
          </cell>
          <cell r="B69">
            <v>900</v>
          </cell>
          <cell r="C69" t="str">
            <v>N.LADDIE - TRAVEL ADVANCE</v>
          </cell>
        </row>
        <row r="70">
          <cell r="A70" t="str">
            <v>1603LADC</v>
          </cell>
          <cell r="B70">
            <v>900</v>
          </cell>
          <cell r="C70" t="str">
            <v>N.LADDIE PAID BY CO.</v>
          </cell>
        </row>
        <row r="71">
          <cell r="A71" t="str">
            <v>1603MAHA</v>
          </cell>
          <cell r="B71">
            <v>900</v>
          </cell>
          <cell r="C71" t="str">
            <v>L.MAHYOUT.TRAVEL ADVANCE</v>
          </cell>
        </row>
        <row r="72">
          <cell r="A72" t="str">
            <v>1603MAHC</v>
          </cell>
          <cell r="B72">
            <v>900</v>
          </cell>
          <cell r="C72" t="str">
            <v>L.MAHYOUT.PAID BY CO.</v>
          </cell>
        </row>
        <row r="73">
          <cell r="A73" t="str">
            <v>1603MERA</v>
          </cell>
          <cell r="B73">
            <v>900</v>
          </cell>
          <cell r="C73" t="str">
            <v>B.MERZOUKI.TRAVEL ADVANCE</v>
          </cell>
        </row>
        <row r="74">
          <cell r="A74" t="str">
            <v>1603MERC</v>
          </cell>
          <cell r="B74">
            <v>900</v>
          </cell>
          <cell r="C74" t="str">
            <v>B.MERZOUKI. PAID BY CO.</v>
          </cell>
        </row>
        <row r="75">
          <cell r="A75" t="str">
            <v>1603MOHA</v>
          </cell>
          <cell r="B75">
            <v>900</v>
          </cell>
          <cell r="C75" t="str">
            <v>N BEN MOHAMED - TRAVEL ADVANCE</v>
          </cell>
        </row>
        <row r="76">
          <cell r="A76" t="str">
            <v>1603MOHC</v>
          </cell>
          <cell r="B76">
            <v>900</v>
          </cell>
          <cell r="C76" t="str">
            <v>N.BEN.MOHAMED. PAID BY CO.</v>
          </cell>
        </row>
        <row r="77">
          <cell r="A77" t="str">
            <v>1603MOOA</v>
          </cell>
          <cell r="B77">
            <v>900</v>
          </cell>
          <cell r="C77" t="str">
            <v>N. MOORE - TRAVEL ADVANCE</v>
          </cell>
        </row>
        <row r="78">
          <cell r="A78" t="str">
            <v>1603MOOC</v>
          </cell>
          <cell r="B78">
            <v>900</v>
          </cell>
          <cell r="C78" t="str">
            <v>N. MOORE - PAID BY CO.</v>
          </cell>
        </row>
        <row r="79">
          <cell r="A79" t="str">
            <v>1603NACA</v>
          </cell>
          <cell r="B79">
            <v>900</v>
          </cell>
          <cell r="C79" t="str">
            <v>N.NACIF - TRAVEL ADVANCE</v>
          </cell>
        </row>
        <row r="80">
          <cell r="A80" t="str">
            <v>1603NASA</v>
          </cell>
          <cell r="B80">
            <v>900</v>
          </cell>
          <cell r="C80" t="str">
            <v>A.NASRI . TRAVEL ADVANCE</v>
          </cell>
        </row>
        <row r="81">
          <cell r="A81" t="str">
            <v>1603NASC</v>
          </cell>
          <cell r="B81">
            <v>900</v>
          </cell>
          <cell r="C81" t="str">
            <v>A.NASRI . PAID BY CO.</v>
          </cell>
        </row>
        <row r="82">
          <cell r="A82" t="str">
            <v>1603OUKA</v>
          </cell>
          <cell r="B82">
            <v>900</v>
          </cell>
          <cell r="C82" t="str">
            <v>H.OUKKAL.TRAVEL ADVANCE</v>
          </cell>
        </row>
        <row r="83">
          <cell r="A83" t="str">
            <v>1603OUKC</v>
          </cell>
          <cell r="B83">
            <v>900</v>
          </cell>
          <cell r="C83" t="str">
            <v>H.OUKKAL - PAID BY CO.</v>
          </cell>
        </row>
        <row r="84">
          <cell r="A84" t="str">
            <v>1603PATA</v>
          </cell>
          <cell r="B84">
            <v>900</v>
          </cell>
          <cell r="C84" t="str">
            <v>PATRICK-TRAVEL ADVANCE</v>
          </cell>
        </row>
        <row r="85">
          <cell r="A85" t="str">
            <v>1603PATC</v>
          </cell>
          <cell r="B85">
            <v>900</v>
          </cell>
          <cell r="C85" t="str">
            <v>PATRICK - PAID BY CO.</v>
          </cell>
        </row>
        <row r="86">
          <cell r="A86" t="str">
            <v>1603RADA</v>
          </cell>
          <cell r="B86">
            <v>900</v>
          </cell>
          <cell r="C86" t="str">
            <v>F.A.RADI TRAVEL ADVANCE</v>
          </cell>
        </row>
        <row r="87">
          <cell r="A87" t="str">
            <v>1603RADC</v>
          </cell>
          <cell r="B87">
            <v>900</v>
          </cell>
          <cell r="C87" t="str">
            <v>F.A.RADI - PAID BY CO.</v>
          </cell>
        </row>
        <row r="88">
          <cell r="A88" t="str">
            <v>1603RAFA</v>
          </cell>
          <cell r="B88">
            <v>900</v>
          </cell>
          <cell r="C88" t="str">
            <v>R.BEN MASSAOUD - TRAVEL ADVANCE</v>
          </cell>
        </row>
        <row r="89">
          <cell r="A89" t="str">
            <v>1603RAFC</v>
          </cell>
          <cell r="B89">
            <v>900</v>
          </cell>
          <cell r="C89" t="str">
            <v>R.BEN MESSAOUD - PAID BY CO.</v>
          </cell>
        </row>
        <row r="90">
          <cell r="A90" t="str">
            <v>1603RAJA</v>
          </cell>
          <cell r="B90">
            <v>900</v>
          </cell>
          <cell r="C90" t="str">
            <v>R.MOUBARAK - TRAVEL ADVANCE</v>
          </cell>
        </row>
        <row r="91">
          <cell r="A91" t="str">
            <v>1603RAJC</v>
          </cell>
          <cell r="B91">
            <v>900</v>
          </cell>
          <cell r="C91" t="str">
            <v>R.MOUBARAK - PAID BY CO.</v>
          </cell>
        </row>
        <row r="92">
          <cell r="A92" t="str">
            <v>1603RBHA</v>
          </cell>
          <cell r="B92">
            <v>900</v>
          </cell>
          <cell r="C92" t="str">
            <v>R.BOUHALFAYA - TRAVEL ADVANCE</v>
          </cell>
        </row>
        <row r="93">
          <cell r="A93" t="str">
            <v>1603RBHC</v>
          </cell>
          <cell r="B93">
            <v>900</v>
          </cell>
          <cell r="C93" t="str">
            <v>R.BOUHALFAYA - PAID BY CO.</v>
          </cell>
        </row>
        <row r="94">
          <cell r="A94" t="str">
            <v>1603SADA</v>
          </cell>
          <cell r="B94">
            <v>900</v>
          </cell>
          <cell r="C94" t="str">
            <v>S. BENSADA - TRAVEL ADVANCE</v>
          </cell>
        </row>
        <row r="95">
          <cell r="A95" t="str">
            <v>1603SADC</v>
          </cell>
          <cell r="B95">
            <v>900</v>
          </cell>
          <cell r="C95" t="str">
            <v>S. BENSADA - PAID BY CO.</v>
          </cell>
        </row>
        <row r="96">
          <cell r="A96" t="str">
            <v>1603SBIA</v>
          </cell>
          <cell r="B96">
            <v>900</v>
          </cell>
          <cell r="C96" t="str">
            <v>A.SBIHI TRAVEL ADVANCE</v>
          </cell>
        </row>
        <row r="97">
          <cell r="A97" t="str">
            <v>1603SEBC</v>
          </cell>
          <cell r="B97">
            <v>900</v>
          </cell>
          <cell r="C97" t="str">
            <v>A. SEBTI - PAID BY CO</v>
          </cell>
        </row>
        <row r="98">
          <cell r="A98" t="str">
            <v>1603SHIA</v>
          </cell>
          <cell r="B98">
            <v>900</v>
          </cell>
          <cell r="C98" t="str">
            <v>M.SHILI TRAVEL ADVANCE</v>
          </cell>
        </row>
        <row r="99">
          <cell r="A99" t="str">
            <v>1603SOUA</v>
          </cell>
          <cell r="B99">
            <v>900</v>
          </cell>
          <cell r="C99" t="str">
            <v>K. BEN SOUISSI - TRAVEL ADVANCE</v>
          </cell>
        </row>
        <row r="100">
          <cell r="A100" t="str">
            <v>1603TAOA</v>
          </cell>
          <cell r="B100">
            <v>900</v>
          </cell>
          <cell r="C100" t="str">
            <v>T.BOUSSAID - TRAVEL ADVANCE</v>
          </cell>
        </row>
        <row r="101">
          <cell r="A101" t="str">
            <v>1603TNAA</v>
          </cell>
          <cell r="B101">
            <v>900</v>
          </cell>
          <cell r="C101" t="str">
            <v>A.TNANI - TRAVEL ADVANCE</v>
          </cell>
        </row>
        <row r="102">
          <cell r="A102" t="str">
            <v>1603TNAC</v>
          </cell>
          <cell r="B102">
            <v>900</v>
          </cell>
          <cell r="C102" t="str">
            <v>A.TNANI  - PAID BY CO.</v>
          </cell>
        </row>
        <row r="103">
          <cell r="A103" t="str">
            <v>1603TOUA</v>
          </cell>
          <cell r="B103">
            <v>900</v>
          </cell>
          <cell r="C103" t="str">
            <v>R.EL TOUKHI . TRAVEL ADVANCE</v>
          </cell>
        </row>
        <row r="104">
          <cell r="A104" t="str">
            <v>1603TOUC</v>
          </cell>
          <cell r="B104">
            <v>900</v>
          </cell>
          <cell r="C104" t="str">
            <v>R.EL TOUKHI - PAID BY CO .</v>
          </cell>
        </row>
        <row r="105">
          <cell r="A105" t="str">
            <v>1603TRAA</v>
          </cell>
          <cell r="B105">
            <v>900</v>
          </cell>
          <cell r="C105" t="str">
            <v>J. TRABELSI - TRAVEL ADVANCE</v>
          </cell>
        </row>
        <row r="106">
          <cell r="A106" t="str">
            <v>1603TRAC</v>
          </cell>
          <cell r="B106">
            <v>900</v>
          </cell>
          <cell r="C106" t="str">
            <v>J. TRABELSI - PAID BY CO.</v>
          </cell>
        </row>
        <row r="107">
          <cell r="A107" t="str">
            <v>1603TRIA</v>
          </cell>
          <cell r="B107">
            <v>900</v>
          </cell>
          <cell r="C107" t="str">
            <v>A. TRIA - TRAVEL ADVANCE</v>
          </cell>
        </row>
        <row r="108">
          <cell r="A108" t="str">
            <v>1603TRIC</v>
          </cell>
          <cell r="B108">
            <v>900</v>
          </cell>
          <cell r="C108" t="str">
            <v>A. TRIA - PAID BY CO.</v>
          </cell>
        </row>
        <row r="109">
          <cell r="A109" t="str">
            <v>1603TUIA</v>
          </cell>
          <cell r="B109">
            <v>900</v>
          </cell>
          <cell r="C109" t="str">
            <v>K.TOUILEB . Travel Advance</v>
          </cell>
        </row>
        <row r="110">
          <cell r="A110" t="str">
            <v>1603TUIC</v>
          </cell>
          <cell r="B110">
            <v>900</v>
          </cell>
          <cell r="C110" t="str">
            <v>K.TOUILEB. PAID BY CO.</v>
          </cell>
        </row>
        <row r="111">
          <cell r="A111" t="str">
            <v>1603WADA</v>
          </cell>
          <cell r="B111">
            <v>900</v>
          </cell>
          <cell r="C111" t="str">
            <v>WADI - TRAVEL ADVANCE</v>
          </cell>
        </row>
        <row r="112">
          <cell r="A112" t="str">
            <v>1603WALA</v>
          </cell>
          <cell r="B112">
            <v>900</v>
          </cell>
          <cell r="C112" t="str">
            <v>WALID BEN ABDESSALEM-TRAVEL ADVAN</v>
          </cell>
        </row>
        <row r="113">
          <cell r="A113" t="str">
            <v>1603WALC</v>
          </cell>
          <cell r="B113">
            <v>900</v>
          </cell>
          <cell r="C113" t="str">
            <v>WALID BEN ABDESSALEM-PAID BY CO</v>
          </cell>
        </row>
        <row r="114">
          <cell r="A114" t="str">
            <v>1603YOUA</v>
          </cell>
          <cell r="B114">
            <v>900</v>
          </cell>
          <cell r="C114" t="str">
            <v>M. BEN YOUSSEF - TRAVEL ADVANCE</v>
          </cell>
        </row>
        <row r="115">
          <cell r="A115" t="str">
            <v>1603YOUC</v>
          </cell>
          <cell r="B115">
            <v>900</v>
          </cell>
          <cell r="C115" t="str">
            <v>M.BEN YOUSSEF - PAID BY CO.</v>
          </cell>
        </row>
        <row r="116">
          <cell r="A116" t="str">
            <v>1603ZIAA</v>
          </cell>
          <cell r="B116">
            <v>900</v>
          </cell>
          <cell r="C116" t="str">
            <v>ZIAD CHOUCHANE - TRAVEL ADVANCE</v>
          </cell>
        </row>
        <row r="117">
          <cell r="A117" t="str">
            <v>1603ZIAC</v>
          </cell>
          <cell r="B117">
            <v>900</v>
          </cell>
          <cell r="C117" t="str">
            <v>Z.CHOUCHANE PAID BY CO</v>
          </cell>
        </row>
        <row r="118">
          <cell r="A118" t="str">
            <v>1603ZITA</v>
          </cell>
          <cell r="B118">
            <v>900</v>
          </cell>
          <cell r="C118" t="str">
            <v>F.ZITOUNI TRAVEL ADVANCE</v>
          </cell>
        </row>
        <row r="119">
          <cell r="A119" t="str">
            <v>1603ZITC</v>
          </cell>
          <cell r="B119">
            <v>900</v>
          </cell>
          <cell r="C119" t="str">
            <v>F.ZITOUNI - PAID BY CO</v>
          </cell>
        </row>
        <row r="120">
          <cell r="A120">
            <v>1612</v>
          </cell>
          <cell r="B120">
            <v>650</v>
          </cell>
          <cell r="C120" t="str">
            <v>DEPOSITS</v>
          </cell>
        </row>
        <row r="121">
          <cell r="A121">
            <v>1612</v>
          </cell>
          <cell r="B121">
            <v>900</v>
          </cell>
          <cell r="C121" t="str">
            <v>DEPOSITS</v>
          </cell>
        </row>
        <row r="122">
          <cell r="A122" t="str">
            <v>_x000C_</v>
          </cell>
        </row>
        <row r="123">
          <cell r="A123" t="str">
            <v>Beverage</v>
          </cell>
          <cell r="B123" t="str">
            <v>Servi</v>
          </cell>
          <cell r="C123" t="str">
            <v>ces Tunisia                  List</v>
          </cell>
        </row>
        <row r="125">
          <cell r="B125" t="str">
            <v>Cost</v>
          </cell>
        </row>
        <row r="126">
          <cell r="A126" t="str">
            <v>Account</v>
          </cell>
          <cell r="B126" t="str">
            <v>Centr</v>
          </cell>
          <cell r="C126" t="str">
            <v>e</v>
          </cell>
        </row>
        <row r="127">
          <cell r="A127" t="str">
            <v>-------</v>
          </cell>
          <cell r="B127" t="str">
            <v>-----</v>
          </cell>
          <cell r="C127" t="str">
            <v>-</v>
          </cell>
        </row>
        <row r="129">
          <cell r="A129">
            <v>161201</v>
          </cell>
          <cell r="B129">
            <v>900</v>
          </cell>
          <cell r="C129" t="str">
            <v>DEPOSITS</v>
          </cell>
        </row>
        <row r="130">
          <cell r="A130">
            <v>1706</v>
          </cell>
          <cell r="B130">
            <v>650</v>
          </cell>
          <cell r="C130" t="str">
            <v>FURNITURE &amp; FIXTURES</v>
          </cell>
        </row>
        <row r="131">
          <cell r="A131">
            <v>1706</v>
          </cell>
          <cell r="B131">
            <v>900</v>
          </cell>
          <cell r="C131" t="str">
            <v>FURNITURE &amp; FIXTURES</v>
          </cell>
        </row>
        <row r="132">
          <cell r="A132">
            <v>170601</v>
          </cell>
          <cell r="B132">
            <v>900</v>
          </cell>
          <cell r="C132" t="str">
            <v>FURNITURE &amp; FIXTURES</v>
          </cell>
        </row>
        <row r="133">
          <cell r="A133">
            <v>1707</v>
          </cell>
          <cell r="B133">
            <v>900</v>
          </cell>
          <cell r="C133" t="str">
            <v>CARS</v>
          </cell>
        </row>
        <row r="134">
          <cell r="A134">
            <v>170701</v>
          </cell>
          <cell r="B134">
            <v>900</v>
          </cell>
          <cell r="C134" t="str">
            <v>CARS</v>
          </cell>
        </row>
        <row r="135">
          <cell r="A135">
            <v>1709</v>
          </cell>
          <cell r="B135">
            <v>900</v>
          </cell>
          <cell r="C135" t="str">
            <v>COMPUTER EQUIPMENT</v>
          </cell>
        </row>
        <row r="136">
          <cell r="A136">
            <v>170901</v>
          </cell>
          <cell r="B136">
            <v>900</v>
          </cell>
          <cell r="C136" t="str">
            <v>COMPUTER EQUIPMENT</v>
          </cell>
        </row>
        <row r="137">
          <cell r="A137">
            <v>1806</v>
          </cell>
          <cell r="B137">
            <v>900</v>
          </cell>
          <cell r="C137" t="str">
            <v>DEPRECIATION - FURNITURE</v>
          </cell>
        </row>
        <row r="138">
          <cell r="A138">
            <v>180601</v>
          </cell>
          <cell r="B138">
            <v>900</v>
          </cell>
          <cell r="C138" t="str">
            <v>DEPRECIATION - FURNITURE ALGERIA</v>
          </cell>
        </row>
        <row r="139">
          <cell r="A139">
            <v>1807</v>
          </cell>
          <cell r="B139">
            <v>900</v>
          </cell>
          <cell r="C139" t="str">
            <v>DEPRECIATION - CARS</v>
          </cell>
        </row>
        <row r="140">
          <cell r="A140">
            <v>180701</v>
          </cell>
          <cell r="B140">
            <v>900</v>
          </cell>
          <cell r="C140" t="str">
            <v>DEPRECIATION - CARS ALGERIA</v>
          </cell>
        </row>
        <row r="141">
          <cell r="A141">
            <v>1809</v>
          </cell>
          <cell r="B141">
            <v>900</v>
          </cell>
          <cell r="C141" t="str">
            <v>DEPRECIATION - COMPUTER EQUIPT</v>
          </cell>
        </row>
        <row r="142">
          <cell r="A142">
            <v>180901</v>
          </cell>
          <cell r="B142">
            <v>900</v>
          </cell>
          <cell r="C142" t="str">
            <v>DEPRECIATION - COMPUTER ALGERIA</v>
          </cell>
        </row>
        <row r="143">
          <cell r="A143">
            <v>2110</v>
          </cell>
          <cell r="B143">
            <v>0</v>
          </cell>
          <cell r="C143" t="str">
            <v>ACCOUNTS PAYABLE</v>
          </cell>
        </row>
        <row r="144">
          <cell r="A144">
            <v>2222</v>
          </cell>
          <cell r="B144">
            <v>0</v>
          </cell>
          <cell r="C144" t="str">
            <v>ACCRUED EXPENSE - GENERAL</v>
          </cell>
        </row>
        <row r="145">
          <cell r="A145">
            <v>222201</v>
          </cell>
          <cell r="B145">
            <v>0</v>
          </cell>
          <cell r="C145" t="str">
            <v>ACCRUED EXPENSE - GENERAL</v>
          </cell>
        </row>
        <row r="146">
          <cell r="A146">
            <v>222202</v>
          </cell>
          <cell r="B146">
            <v>0</v>
          </cell>
          <cell r="C146" t="str">
            <v>SOA ACCRUALS</v>
          </cell>
        </row>
        <row r="147">
          <cell r="A147">
            <v>2225</v>
          </cell>
          <cell r="B147">
            <v>900</v>
          </cell>
          <cell r="C147" t="str">
            <v>ACCRUED PAYROLLS</v>
          </cell>
        </row>
        <row r="148">
          <cell r="A148">
            <v>2241</v>
          </cell>
          <cell r="B148">
            <v>900</v>
          </cell>
          <cell r="C148" t="str">
            <v>PAYROLL TAXES WITHELD</v>
          </cell>
        </row>
        <row r="149">
          <cell r="A149">
            <v>224101</v>
          </cell>
          <cell r="B149">
            <v>900</v>
          </cell>
          <cell r="C149" t="str">
            <v>EMPLOYEES INSURANCE WITHELD</v>
          </cell>
        </row>
        <row r="150">
          <cell r="A150">
            <v>224102</v>
          </cell>
          <cell r="B150">
            <v>900</v>
          </cell>
          <cell r="C150" t="str">
            <v>EMPLOYEES-EXP-INSURANCE WITHHELD</v>
          </cell>
        </row>
        <row r="151">
          <cell r="A151">
            <v>2244</v>
          </cell>
          <cell r="B151">
            <v>900</v>
          </cell>
          <cell r="C151" t="str">
            <v>ACCRUED PAYROLL TAXES</v>
          </cell>
        </row>
        <row r="152">
          <cell r="A152">
            <v>224401</v>
          </cell>
          <cell r="B152">
            <v>900</v>
          </cell>
          <cell r="C152" t="str">
            <v>ACCRUED PAYROLL TAXES - AVC</v>
          </cell>
        </row>
        <row r="153">
          <cell r="A153">
            <v>224402</v>
          </cell>
          <cell r="B153">
            <v>900</v>
          </cell>
          <cell r="C153" t="str">
            <v>ACCRUED PAYROLL TAXES-Loan</v>
          </cell>
        </row>
        <row r="154">
          <cell r="A154">
            <v>2246</v>
          </cell>
          <cell r="B154">
            <v>900</v>
          </cell>
          <cell r="C154" t="str">
            <v>WITHOLDING TAX</v>
          </cell>
        </row>
        <row r="155">
          <cell r="A155">
            <v>23341000</v>
          </cell>
          <cell r="B155">
            <v>900</v>
          </cell>
          <cell r="C155" t="str">
            <v>C-C ATLANTA CURRENT ACCOUNT $</v>
          </cell>
        </row>
        <row r="156">
          <cell r="A156">
            <v>23341005</v>
          </cell>
          <cell r="B156">
            <v>900</v>
          </cell>
          <cell r="C156" t="str">
            <v>C-C GULF CURRENT A/C $</v>
          </cell>
        </row>
        <row r="157">
          <cell r="A157">
            <v>23341011</v>
          </cell>
          <cell r="B157">
            <v>900</v>
          </cell>
          <cell r="C157" t="str">
            <v>WEST AFRICA LOCATION</v>
          </cell>
        </row>
        <row r="158">
          <cell r="A158">
            <v>23341020</v>
          </cell>
          <cell r="B158">
            <v>900</v>
          </cell>
          <cell r="C158" t="str">
            <v>C-C MIDDLE EAST CURRENT A/C $</v>
          </cell>
        </row>
        <row r="159">
          <cell r="A159">
            <v>23341021</v>
          </cell>
          <cell r="B159">
            <v>900</v>
          </cell>
          <cell r="C159" t="str">
            <v>ALGERIA ACCOUNT</v>
          </cell>
        </row>
        <row r="160">
          <cell r="A160">
            <v>23341043</v>
          </cell>
          <cell r="B160">
            <v>900</v>
          </cell>
          <cell r="C160" t="str">
            <v>SOFT DRINK SERVICES - LEBANON</v>
          </cell>
        </row>
        <row r="161">
          <cell r="A161">
            <v>23341104</v>
          </cell>
          <cell r="B161">
            <v>900</v>
          </cell>
          <cell r="C161" t="str">
            <v>COCA-COLA MAROC</v>
          </cell>
        </row>
        <row r="162">
          <cell r="A162">
            <v>23341500</v>
          </cell>
          <cell r="B162">
            <v>900</v>
          </cell>
          <cell r="C162" t="str">
            <v>RPSI - CURRENT A/C $</v>
          </cell>
        </row>
        <row r="163">
          <cell r="A163">
            <v>23341512</v>
          </cell>
          <cell r="B163">
            <v>900</v>
          </cell>
          <cell r="C163" t="str">
            <v>NIGERIA LOCATION</v>
          </cell>
        </row>
        <row r="164">
          <cell r="A164">
            <v>23341519</v>
          </cell>
          <cell r="B164">
            <v>900</v>
          </cell>
          <cell r="C164" t="str">
            <v>SOUTH AFRICA</v>
          </cell>
        </row>
        <row r="165">
          <cell r="A165">
            <v>23341612</v>
          </cell>
          <cell r="B165">
            <v>900</v>
          </cell>
          <cell r="C165" t="str">
            <v>AIL-CAIRO CURRENT A/C $</v>
          </cell>
        </row>
        <row r="166">
          <cell r="A166">
            <v>23341678</v>
          </cell>
          <cell r="B166">
            <v>900</v>
          </cell>
          <cell r="C166" t="str">
            <v>COCA-COLA MIDI</v>
          </cell>
        </row>
        <row r="167">
          <cell r="A167">
            <v>23341691</v>
          </cell>
          <cell r="B167">
            <v>900</v>
          </cell>
          <cell r="C167" t="str">
            <v>COCA-COLA NEAR EAST</v>
          </cell>
        </row>
        <row r="168">
          <cell r="A168">
            <v>23341693</v>
          </cell>
          <cell r="B168">
            <v>900</v>
          </cell>
          <cell r="C168" t="str">
            <v>SOFT DRINK SERVICES CURRENT A/C $</v>
          </cell>
        </row>
        <row r="169">
          <cell r="A169">
            <v>23341742</v>
          </cell>
          <cell r="B169">
            <v>900</v>
          </cell>
          <cell r="C169" t="str">
            <v>Coca-Cola China</v>
          </cell>
        </row>
        <row r="170">
          <cell r="A170">
            <v>23343124</v>
          </cell>
          <cell r="B170">
            <v>900</v>
          </cell>
          <cell r="C170" t="str">
            <v>SUDAN</v>
          </cell>
        </row>
        <row r="171">
          <cell r="A171">
            <v>2434</v>
          </cell>
          <cell r="B171">
            <v>900</v>
          </cell>
          <cell r="C171" t="str">
            <v>INTER_COMPANY SUSPENSE</v>
          </cell>
        </row>
        <row r="172">
          <cell r="A172">
            <v>28101000</v>
          </cell>
          <cell r="B172">
            <v>900</v>
          </cell>
          <cell r="C172" t="str">
            <v>CAPITAL - TCCEC</v>
          </cell>
        </row>
        <row r="173">
          <cell r="A173">
            <v>28101500</v>
          </cell>
          <cell r="B173">
            <v>900</v>
          </cell>
          <cell r="C173" t="str">
            <v>CAPITAL - RPSInc.</v>
          </cell>
        </row>
        <row r="174">
          <cell r="A174">
            <v>2960</v>
          </cell>
          <cell r="B174">
            <v>0</v>
          </cell>
          <cell r="C174" t="str">
            <v>RETAINED EARNINGS</v>
          </cell>
        </row>
        <row r="175">
          <cell r="A175">
            <v>7003</v>
          </cell>
          <cell r="B175">
            <v>700</v>
          </cell>
          <cell r="C175" t="str">
            <v>INTEREST INCOME -OTHER</v>
          </cell>
        </row>
        <row r="176">
          <cell r="A176">
            <v>7009</v>
          </cell>
          <cell r="B176">
            <v>700</v>
          </cell>
          <cell r="C176" t="str">
            <v>FEES &amp; COMMISSIONS INCOME</v>
          </cell>
        </row>
        <row r="177">
          <cell r="A177">
            <v>7009</v>
          </cell>
          <cell r="B177">
            <v>710</v>
          </cell>
          <cell r="C177" t="str">
            <v>FEES &amp; COMMISSIONS INCOME</v>
          </cell>
        </row>
        <row r="178">
          <cell r="A178">
            <v>7012</v>
          </cell>
          <cell r="B178">
            <v>700</v>
          </cell>
          <cell r="C178" t="str">
            <v>SALE OF FIXED ASSETS</v>
          </cell>
        </row>
        <row r="179">
          <cell r="A179">
            <v>701201</v>
          </cell>
          <cell r="B179">
            <v>700</v>
          </cell>
          <cell r="C179" t="str">
            <v>SALES OF FIXED ASSETS-ALGERIA</v>
          </cell>
        </row>
        <row r="180">
          <cell r="A180">
            <v>7014</v>
          </cell>
          <cell r="B180">
            <v>0</v>
          </cell>
          <cell r="C180" t="str">
            <v>GAIN ON EXCHANGE</v>
          </cell>
        </row>
        <row r="181">
          <cell r="A181">
            <v>7014</v>
          </cell>
          <cell r="B181">
            <v>700</v>
          </cell>
          <cell r="C181" t="str">
            <v>GAIN ON EXCHANGE</v>
          </cell>
        </row>
        <row r="182">
          <cell r="A182">
            <v>701401</v>
          </cell>
          <cell r="B182">
            <v>700</v>
          </cell>
          <cell r="C182" t="str">
            <v>GAIN ON EXCHANGE ALGERIA</v>
          </cell>
        </row>
        <row r="183">
          <cell r="A183" t="str">
            <v>_x000C_</v>
          </cell>
        </row>
        <row r="184">
          <cell r="A184" t="str">
            <v>Beverage</v>
          </cell>
          <cell r="B184" t="str">
            <v>Servi</v>
          </cell>
          <cell r="C184" t="str">
            <v>ces Tunisia                  List</v>
          </cell>
        </row>
        <row r="186">
          <cell r="B186" t="str">
            <v>Cost</v>
          </cell>
        </row>
        <row r="187">
          <cell r="A187" t="str">
            <v>Account</v>
          </cell>
          <cell r="B187" t="str">
            <v>Centr</v>
          </cell>
          <cell r="C187" t="str">
            <v>e</v>
          </cell>
        </row>
        <row r="188">
          <cell r="A188" t="str">
            <v>-------</v>
          </cell>
          <cell r="B188" t="str">
            <v>-----</v>
          </cell>
          <cell r="C188" t="str">
            <v>-</v>
          </cell>
        </row>
        <row r="190">
          <cell r="A190">
            <v>701402</v>
          </cell>
          <cell r="B190">
            <v>700</v>
          </cell>
          <cell r="C190" t="str">
            <v>GAIN/LOSS ON EXCHANGE</v>
          </cell>
        </row>
        <row r="191">
          <cell r="A191">
            <v>7016</v>
          </cell>
          <cell r="B191">
            <v>700</v>
          </cell>
          <cell r="C191" t="str">
            <v>Nonoperating Additions to Income</v>
          </cell>
        </row>
        <row r="192">
          <cell r="A192">
            <v>8011</v>
          </cell>
          <cell r="B192">
            <v>100</v>
          </cell>
          <cell r="C192" t="str">
            <v>SALARIES AND WAGES</v>
          </cell>
        </row>
        <row r="193">
          <cell r="A193">
            <v>8011</v>
          </cell>
          <cell r="B193">
            <v>150</v>
          </cell>
          <cell r="C193" t="str">
            <v>SALARIES AND WAGES</v>
          </cell>
        </row>
        <row r="194">
          <cell r="A194">
            <v>8011</v>
          </cell>
          <cell r="B194">
            <v>200</v>
          </cell>
          <cell r="C194" t="str">
            <v>SALARIES AND WAGES</v>
          </cell>
        </row>
        <row r="195">
          <cell r="A195">
            <v>8011</v>
          </cell>
          <cell r="B195">
            <v>300</v>
          </cell>
          <cell r="C195" t="str">
            <v>SALARIES AND WAGES</v>
          </cell>
        </row>
        <row r="196">
          <cell r="A196">
            <v>8011</v>
          </cell>
          <cell r="B196">
            <v>600</v>
          </cell>
          <cell r="C196" t="str">
            <v>SALARIES AND WAGES</v>
          </cell>
        </row>
        <row r="197">
          <cell r="A197">
            <v>8011</v>
          </cell>
          <cell r="B197">
            <v>650</v>
          </cell>
          <cell r="C197" t="str">
            <v>SALARIES AND WAGES</v>
          </cell>
        </row>
        <row r="198">
          <cell r="A198">
            <v>8011</v>
          </cell>
          <cell r="B198">
            <v>660</v>
          </cell>
          <cell r="C198" t="str">
            <v>SALARIES AND WAGES</v>
          </cell>
        </row>
        <row r="199">
          <cell r="A199">
            <v>8011</v>
          </cell>
          <cell r="B199">
            <v>670</v>
          </cell>
          <cell r="C199" t="str">
            <v>SALARIES AND WAGES</v>
          </cell>
        </row>
        <row r="200">
          <cell r="A200">
            <v>8011</v>
          </cell>
          <cell r="B200">
            <v>680</v>
          </cell>
          <cell r="C200" t="str">
            <v>SALARIES AND WAGES</v>
          </cell>
        </row>
        <row r="201">
          <cell r="A201">
            <v>8011</v>
          </cell>
          <cell r="B201">
            <v>690</v>
          </cell>
          <cell r="C201" t="str">
            <v>SALARIES AND WAGES</v>
          </cell>
        </row>
        <row r="202">
          <cell r="A202">
            <v>8011</v>
          </cell>
          <cell r="B202">
            <v>800</v>
          </cell>
          <cell r="C202" t="str">
            <v>SALARIES AND WAGES</v>
          </cell>
        </row>
        <row r="203">
          <cell r="A203" t="str">
            <v>8011A</v>
          </cell>
          <cell r="B203">
            <v>100</v>
          </cell>
          <cell r="C203" t="str">
            <v>SALARIES &amp; WAGES</v>
          </cell>
        </row>
        <row r="204">
          <cell r="A204" t="str">
            <v>8011A</v>
          </cell>
          <cell r="B204">
            <v>200</v>
          </cell>
          <cell r="C204" t="str">
            <v>SALARIES &amp; WAGES</v>
          </cell>
        </row>
        <row r="205">
          <cell r="A205" t="str">
            <v>8011A</v>
          </cell>
          <cell r="B205">
            <v>300</v>
          </cell>
          <cell r="C205" t="str">
            <v>SALARIES &amp; WAGES</v>
          </cell>
        </row>
        <row r="206">
          <cell r="A206">
            <v>8012</v>
          </cell>
          <cell r="B206">
            <v>100</v>
          </cell>
          <cell r="C206" t="str">
            <v>SALARY EXPENSE CLEARANCE</v>
          </cell>
        </row>
        <row r="207">
          <cell r="A207">
            <v>8015</v>
          </cell>
          <cell r="B207">
            <v>100</v>
          </cell>
          <cell r="C207" t="str">
            <v>CONTRACT LABOUR EXPENSE</v>
          </cell>
        </row>
        <row r="208">
          <cell r="A208">
            <v>8015</v>
          </cell>
          <cell r="B208">
            <v>200</v>
          </cell>
          <cell r="C208" t="str">
            <v>CONTRACT LABOUR EXPENSE</v>
          </cell>
        </row>
        <row r="209">
          <cell r="A209">
            <v>8015</v>
          </cell>
          <cell r="B209">
            <v>300</v>
          </cell>
          <cell r="C209" t="str">
            <v>CONTRACT LABOUR EXPENSE</v>
          </cell>
        </row>
        <row r="210">
          <cell r="A210">
            <v>8015</v>
          </cell>
          <cell r="B210">
            <v>650</v>
          </cell>
          <cell r="C210" t="str">
            <v>CONTRACT LABOUR EXPENSE</v>
          </cell>
        </row>
        <row r="211">
          <cell r="A211">
            <v>8021</v>
          </cell>
          <cell r="B211">
            <v>100</v>
          </cell>
          <cell r="C211" t="str">
            <v>Consulting Services</v>
          </cell>
        </row>
        <row r="212">
          <cell r="A212">
            <v>8021</v>
          </cell>
          <cell r="B212">
            <v>150</v>
          </cell>
          <cell r="C212" t="str">
            <v>Consulting Services</v>
          </cell>
        </row>
        <row r="213">
          <cell r="A213">
            <v>8021</v>
          </cell>
          <cell r="B213">
            <v>200</v>
          </cell>
          <cell r="C213" t="str">
            <v>Consulting Services</v>
          </cell>
        </row>
        <row r="214">
          <cell r="A214">
            <v>8021</v>
          </cell>
          <cell r="B214">
            <v>300</v>
          </cell>
          <cell r="C214" t="str">
            <v>Consulting Services</v>
          </cell>
        </row>
        <row r="215">
          <cell r="A215">
            <v>8021</v>
          </cell>
          <cell r="B215">
            <v>600</v>
          </cell>
          <cell r="C215" t="str">
            <v>Consulting Services</v>
          </cell>
        </row>
        <row r="216">
          <cell r="A216">
            <v>8021</v>
          </cell>
          <cell r="B216">
            <v>650</v>
          </cell>
          <cell r="C216" t="str">
            <v>Consulting Services</v>
          </cell>
        </row>
        <row r="217">
          <cell r="A217">
            <v>8021</v>
          </cell>
          <cell r="B217">
            <v>660</v>
          </cell>
          <cell r="C217" t="str">
            <v>Consulting Services</v>
          </cell>
        </row>
        <row r="218">
          <cell r="A218">
            <v>8022</v>
          </cell>
          <cell r="B218">
            <v>100</v>
          </cell>
          <cell r="C218" t="str">
            <v>Non-Consulting Services - NEW</v>
          </cell>
        </row>
        <row r="219">
          <cell r="A219">
            <v>8022</v>
          </cell>
          <cell r="B219">
            <v>200</v>
          </cell>
          <cell r="C219" t="str">
            <v>Non-Consulting Services -  NEW</v>
          </cell>
        </row>
        <row r="220">
          <cell r="A220">
            <v>8022</v>
          </cell>
          <cell r="B220">
            <v>300</v>
          </cell>
          <cell r="C220" t="str">
            <v>Non-Consulting Services - NEW</v>
          </cell>
        </row>
        <row r="221">
          <cell r="A221">
            <v>8022</v>
          </cell>
          <cell r="B221">
            <v>600</v>
          </cell>
          <cell r="C221" t="str">
            <v>Non-Consulting Services - NEW</v>
          </cell>
        </row>
        <row r="222">
          <cell r="A222">
            <v>8022</v>
          </cell>
          <cell r="B222">
            <v>650</v>
          </cell>
          <cell r="C222" t="str">
            <v>Non-Consulting Services - NEW</v>
          </cell>
        </row>
        <row r="223">
          <cell r="A223">
            <v>8022</v>
          </cell>
          <cell r="B223">
            <v>660</v>
          </cell>
          <cell r="C223" t="str">
            <v>Non-Consulting Services - NEW</v>
          </cell>
        </row>
        <row r="224">
          <cell r="A224">
            <v>8022</v>
          </cell>
          <cell r="B224">
            <v>680</v>
          </cell>
          <cell r="C224" t="str">
            <v>Non-Consulting Services - NEW</v>
          </cell>
        </row>
        <row r="225">
          <cell r="A225">
            <v>8023</v>
          </cell>
          <cell r="B225">
            <v>100</v>
          </cell>
          <cell r="C225" t="str">
            <v>Non-Consulting Services -GLOB</v>
          </cell>
        </row>
        <row r="226">
          <cell r="A226">
            <v>8023</v>
          </cell>
          <cell r="B226">
            <v>150</v>
          </cell>
          <cell r="C226" t="str">
            <v>Non-Consulting Services -GLOB</v>
          </cell>
        </row>
        <row r="227">
          <cell r="A227">
            <v>8023</v>
          </cell>
          <cell r="B227">
            <v>200</v>
          </cell>
          <cell r="C227" t="str">
            <v>Non-Consulting Services -GLOB</v>
          </cell>
        </row>
        <row r="228">
          <cell r="A228">
            <v>8023</v>
          </cell>
          <cell r="B228">
            <v>300</v>
          </cell>
          <cell r="C228" t="str">
            <v>Non-Consulting Services -GLOB</v>
          </cell>
        </row>
        <row r="229">
          <cell r="A229">
            <v>8023</v>
          </cell>
          <cell r="B229">
            <v>600</v>
          </cell>
          <cell r="C229" t="str">
            <v>Non-Consulting Services -GLOB</v>
          </cell>
        </row>
        <row r="230">
          <cell r="A230">
            <v>8023</v>
          </cell>
          <cell r="B230">
            <v>650</v>
          </cell>
          <cell r="C230" t="str">
            <v>Non-Consulting Services -GLOB</v>
          </cell>
        </row>
        <row r="231">
          <cell r="A231">
            <v>8023</v>
          </cell>
          <cell r="B231">
            <v>660</v>
          </cell>
          <cell r="C231" t="str">
            <v>Non-Consulting Services -GLOB</v>
          </cell>
        </row>
        <row r="232">
          <cell r="A232">
            <v>8031</v>
          </cell>
          <cell r="B232">
            <v>100</v>
          </cell>
          <cell r="C232" t="str">
            <v>PAYROLL TAXES</v>
          </cell>
        </row>
        <row r="233">
          <cell r="A233">
            <v>8031</v>
          </cell>
          <cell r="B233">
            <v>150</v>
          </cell>
          <cell r="C233" t="str">
            <v>PAYROLL TAXES</v>
          </cell>
        </row>
        <row r="234">
          <cell r="A234">
            <v>8031</v>
          </cell>
          <cell r="B234">
            <v>200</v>
          </cell>
          <cell r="C234" t="str">
            <v>PAYROLL TAXES</v>
          </cell>
        </row>
        <row r="235">
          <cell r="A235">
            <v>8031</v>
          </cell>
          <cell r="B235">
            <v>300</v>
          </cell>
          <cell r="C235" t="str">
            <v>PAYROLL TAXES</v>
          </cell>
        </row>
        <row r="236">
          <cell r="A236">
            <v>8031</v>
          </cell>
          <cell r="B236">
            <v>600</v>
          </cell>
          <cell r="C236" t="str">
            <v>PAYROLL TAXES</v>
          </cell>
        </row>
        <row r="237">
          <cell r="A237">
            <v>8031</v>
          </cell>
          <cell r="B237">
            <v>650</v>
          </cell>
          <cell r="C237" t="str">
            <v>PAYROLL TAXES</v>
          </cell>
        </row>
        <row r="238">
          <cell r="A238">
            <v>8031</v>
          </cell>
          <cell r="B238">
            <v>660</v>
          </cell>
          <cell r="C238" t="str">
            <v>PAYROLL TAXES</v>
          </cell>
        </row>
        <row r="239">
          <cell r="A239">
            <v>8031</v>
          </cell>
          <cell r="B239">
            <v>680</v>
          </cell>
          <cell r="C239" t="str">
            <v>PAYROLL TAXES</v>
          </cell>
        </row>
        <row r="240">
          <cell r="A240">
            <v>8031</v>
          </cell>
          <cell r="B240">
            <v>800</v>
          </cell>
          <cell r="C240" t="str">
            <v>PAYROLL TAXES</v>
          </cell>
        </row>
        <row r="241">
          <cell r="A241">
            <v>803101</v>
          </cell>
          <cell r="B241">
            <v>100</v>
          </cell>
          <cell r="C241" t="str">
            <v>PAYROLL TAXES - AVC</v>
          </cell>
        </row>
        <row r="242">
          <cell r="A242">
            <v>803101</v>
          </cell>
          <cell r="B242">
            <v>200</v>
          </cell>
          <cell r="C242" t="str">
            <v>PAYROLL TAXES - AVC</v>
          </cell>
        </row>
        <row r="243">
          <cell r="A243">
            <v>803101</v>
          </cell>
          <cell r="B243">
            <v>300</v>
          </cell>
          <cell r="C243" t="str">
            <v>PAYROLL TAXES - AVC</v>
          </cell>
        </row>
        <row r="244">
          <cell r="A244" t="str">
            <v>_x000C_</v>
          </cell>
        </row>
        <row r="245">
          <cell r="A245" t="str">
            <v>Beverage</v>
          </cell>
          <cell r="B245" t="str">
            <v>Servi</v>
          </cell>
          <cell r="C245" t="str">
            <v>ces Tunisia                  List</v>
          </cell>
        </row>
        <row r="247">
          <cell r="B247" t="str">
            <v>Cost</v>
          </cell>
        </row>
        <row r="248">
          <cell r="A248" t="str">
            <v>Account</v>
          </cell>
          <cell r="B248" t="str">
            <v>Centr</v>
          </cell>
          <cell r="C248" t="str">
            <v>e</v>
          </cell>
        </row>
        <row r="249">
          <cell r="A249" t="str">
            <v>-------</v>
          </cell>
          <cell r="B249" t="str">
            <v>-----</v>
          </cell>
          <cell r="C249" t="str">
            <v>-</v>
          </cell>
        </row>
        <row r="251">
          <cell r="A251">
            <v>803101</v>
          </cell>
          <cell r="B251">
            <v>600</v>
          </cell>
          <cell r="C251" t="str">
            <v>PAYROLL TAXES - AVC</v>
          </cell>
        </row>
        <row r="252">
          <cell r="A252">
            <v>803101</v>
          </cell>
          <cell r="B252">
            <v>660</v>
          </cell>
          <cell r="C252" t="str">
            <v>PAYROLL TAXES - AVC</v>
          </cell>
        </row>
        <row r="253">
          <cell r="A253">
            <v>803101</v>
          </cell>
          <cell r="B253">
            <v>800</v>
          </cell>
          <cell r="C253" t="str">
            <v>PAYROLL TAXES - AVC</v>
          </cell>
        </row>
        <row r="254">
          <cell r="A254" t="str">
            <v>8031A</v>
          </cell>
          <cell r="B254">
            <v>100</v>
          </cell>
          <cell r="C254" t="str">
            <v>PAYROLL TAXES</v>
          </cell>
        </row>
        <row r="255">
          <cell r="A255" t="str">
            <v>8031A</v>
          </cell>
          <cell r="B255">
            <v>200</v>
          </cell>
          <cell r="C255" t="str">
            <v>PAYROLL TAXES</v>
          </cell>
        </row>
        <row r="256">
          <cell r="A256" t="str">
            <v>8031A</v>
          </cell>
          <cell r="B256">
            <v>300</v>
          </cell>
          <cell r="C256" t="str">
            <v>PAYROLL TAXES</v>
          </cell>
        </row>
        <row r="257">
          <cell r="A257">
            <v>8033</v>
          </cell>
          <cell r="B257">
            <v>100</v>
          </cell>
          <cell r="C257" t="str">
            <v>PENSION CONTRIBUTIONS</v>
          </cell>
        </row>
        <row r="258">
          <cell r="A258">
            <v>8033</v>
          </cell>
          <cell r="B258">
            <v>200</v>
          </cell>
          <cell r="C258" t="str">
            <v>PENSION CONTRIBUTIONS</v>
          </cell>
        </row>
        <row r="259">
          <cell r="A259">
            <v>8033</v>
          </cell>
          <cell r="B259">
            <v>600</v>
          </cell>
          <cell r="C259" t="str">
            <v>PENSION CONTRIBUTIONS</v>
          </cell>
        </row>
        <row r="260">
          <cell r="A260">
            <v>8033</v>
          </cell>
          <cell r="B260">
            <v>610</v>
          </cell>
          <cell r="C260" t="str">
            <v>PENSION CONTRIBUTIONS</v>
          </cell>
        </row>
        <row r="261">
          <cell r="A261">
            <v>8033</v>
          </cell>
          <cell r="B261">
            <v>650</v>
          </cell>
          <cell r="C261" t="str">
            <v>PENSION CONTRIBUTIONS</v>
          </cell>
        </row>
        <row r="262">
          <cell r="A262">
            <v>8035</v>
          </cell>
          <cell r="B262">
            <v>100</v>
          </cell>
          <cell r="C262" t="str">
            <v>EMP.HOUSING COSTS+ UTILITIES</v>
          </cell>
        </row>
        <row r="263">
          <cell r="A263">
            <v>8035</v>
          </cell>
          <cell r="B263">
            <v>150</v>
          </cell>
          <cell r="C263" t="str">
            <v>EMP.HOUSING COSTS+ UTILITIES</v>
          </cell>
        </row>
        <row r="264">
          <cell r="A264">
            <v>8035</v>
          </cell>
          <cell r="B264">
            <v>200</v>
          </cell>
          <cell r="C264" t="str">
            <v>EMP.HOUSING COSTS+ UTILITIES</v>
          </cell>
        </row>
        <row r="265">
          <cell r="A265">
            <v>8035</v>
          </cell>
          <cell r="B265">
            <v>300</v>
          </cell>
          <cell r="C265" t="str">
            <v>EMP.HOUSING COSTS+ UTILITIES</v>
          </cell>
        </row>
        <row r="266">
          <cell r="A266">
            <v>8035</v>
          </cell>
          <cell r="B266">
            <v>600</v>
          </cell>
          <cell r="C266" t="str">
            <v>EMP.HOUSING COSTS+ UTILITIES</v>
          </cell>
        </row>
        <row r="267">
          <cell r="A267">
            <v>8035</v>
          </cell>
          <cell r="B267">
            <v>610</v>
          </cell>
          <cell r="C267" t="str">
            <v>EMP.HOUSING COSTS+ UTILITIES</v>
          </cell>
        </row>
        <row r="268">
          <cell r="A268">
            <v>8035</v>
          </cell>
          <cell r="B268">
            <v>650</v>
          </cell>
          <cell r="C268" t="str">
            <v>EMP.HOUSING COSTS+ UTILITIES</v>
          </cell>
        </row>
        <row r="269">
          <cell r="A269">
            <v>8035</v>
          </cell>
          <cell r="B269">
            <v>660</v>
          </cell>
          <cell r="C269" t="str">
            <v>EMP.HOUSING COSTS+ UTILITIES</v>
          </cell>
        </row>
        <row r="270">
          <cell r="A270">
            <v>8035</v>
          </cell>
          <cell r="B270">
            <v>680</v>
          </cell>
          <cell r="C270" t="str">
            <v>EMP.HOUSING COSTS+ UTILITIES</v>
          </cell>
        </row>
        <row r="271">
          <cell r="A271">
            <v>803501</v>
          </cell>
          <cell r="B271">
            <v>100</v>
          </cell>
          <cell r="C271" t="str">
            <v>EMP BEN-HSG COSTS + UTILITIES</v>
          </cell>
        </row>
        <row r="272">
          <cell r="A272">
            <v>803501</v>
          </cell>
          <cell r="B272">
            <v>150</v>
          </cell>
          <cell r="C272" t="str">
            <v>EMP BEN-HSG COSTS + UTILITIES</v>
          </cell>
        </row>
        <row r="273">
          <cell r="A273">
            <v>803501</v>
          </cell>
          <cell r="B273">
            <v>200</v>
          </cell>
          <cell r="C273" t="str">
            <v>EMP BEN-HSG COSTS + UTILITIES</v>
          </cell>
        </row>
        <row r="274">
          <cell r="A274">
            <v>803501</v>
          </cell>
          <cell r="B274">
            <v>300</v>
          </cell>
          <cell r="C274" t="str">
            <v>EMP BEN-HSG COSTS + UTILITIES</v>
          </cell>
        </row>
        <row r="275">
          <cell r="A275">
            <v>803501</v>
          </cell>
          <cell r="B275">
            <v>600</v>
          </cell>
          <cell r="C275" t="str">
            <v>EMP BEN-HSG COSTS + UTILITIES</v>
          </cell>
        </row>
        <row r="276">
          <cell r="A276">
            <v>803501</v>
          </cell>
          <cell r="B276">
            <v>650</v>
          </cell>
          <cell r="C276" t="str">
            <v>EMP BEN-HSG COSTS + UTILITIES</v>
          </cell>
        </row>
        <row r="277">
          <cell r="A277">
            <v>803501</v>
          </cell>
          <cell r="B277">
            <v>660</v>
          </cell>
          <cell r="C277" t="str">
            <v>EMP BEN-HSG COSTS + UTILITIES</v>
          </cell>
        </row>
        <row r="278">
          <cell r="A278">
            <v>803501</v>
          </cell>
          <cell r="B278">
            <v>680</v>
          </cell>
          <cell r="C278" t="str">
            <v>EMP BEN-HSG COSTS + UTILITIES</v>
          </cell>
        </row>
        <row r="279">
          <cell r="A279">
            <v>8037</v>
          </cell>
          <cell r="B279">
            <v>100</v>
          </cell>
          <cell r="C279" t="str">
            <v>STAFF CATERING</v>
          </cell>
        </row>
        <row r="280">
          <cell r="A280">
            <v>8037</v>
          </cell>
          <cell r="B280">
            <v>150</v>
          </cell>
          <cell r="C280" t="str">
            <v>STAFF CATERING</v>
          </cell>
        </row>
        <row r="281">
          <cell r="A281">
            <v>8037</v>
          </cell>
          <cell r="B281">
            <v>300</v>
          </cell>
          <cell r="C281" t="str">
            <v>STAFF CATERING</v>
          </cell>
        </row>
        <row r="282">
          <cell r="A282">
            <v>8037</v>
          </cell>
          <cell r="B282">
            <v>650</v>
          </cell>
          <cell r="C282" t="str">
            <v>STAFF CATERING</v>
          </cell>
        </row>
        <row r="283">
          <cell r="A283">
            <v>8037</v>
          </cell>
          <cell r="B283">
            <v>660</v>
          </cell>
          <cell r="C283" t="str">
            <v>STAFF CATERING</v>
          </cell>
        </row>
        <row r="284">
          <cell r="A284">
            <v>8038</v>
          </cell>
          <cell r="B284">
            <v>100</v>
          </cell>
          <cell r="C284" t="str">
            <v>OFFICE BEVERAGES</v>
          </cell>
        </row>
        <row r="285">
          <cell r="A285">
            <v>8038</v>
          </cell>
          <cell r="B285">
            <v>150</v>
          </cell>
          <cell r="C285" t="str">
            <v>OFFICE BEVERAGES</v>
          </cell>
        </row>
        <row r="286">
          <cell r="A286">
            <v>8038</v>
          </cell>
          <cell r="B286">
            <v>600</v>
          </cell>
          <cell r="C286" t="str">
            <v>OFFICE BEVERAGES</v>
          </cell>
        </row>
        <row r="287">
          <cell r="A287">
            <v>8038</v>
          </cell>
          <cell r="B287">
            <v>650</v>
          </cell>
          <cell r="C287" t="str">
            <v>OFFICE BEVERAGES</v>
          </cell>
        </row>
        <row r="288">
          <cell r="A288">
            <v>8038</v>
          </cell>
          <cell r="B288">
            <v>660</v>
          </cell>
          <cell r="C288" t="str">
            <v>OFFICE BEVERAGES</v>
          </cell>
        </row>
        <row r="289">
          <cell r="A289">
            <v>8039</v>
          </cell>
          <cell r="B289">
            <v>100</v>
          </cell>
          <cell r="C289" t="str">
            <v>SICK SCHEME/EMPLOYEE BENEFITS</v>
          </cell>
        </row>
        <row r="290">
          <cell r="A290">
            <v>8039</v>
          </cell>
          <cell r="B290">
            <v>200</v>
          </cell>
          <cell r="C290" t="str">
            <v>SICK SCHEME/EMPLOYEE BENEFITS</v>
          </cell>
        </row>
        <row r="291">
          <cell r="A291">
            <v>8039</v>
          </cell>
          <cell r="B291">
            <v>300</v>
          </cell>
          <cell r="C291" t="str">
            <v>SICK SCHEME/EMPLOYEE BENEFITS</v>
          </cell>
        </row>
        <row r="292">
          <cell r="A292">
            <v>8039</v>
          </cell>
          <cell r="B292">
            <v>600</v>
          </cell>
          <cell r="C292" t="str">
            <v>SICK SCHEME/EMPLOYEE BENEFITS</v>
          </cell>
        </row>
        <row r="293">
          <cell r="A293">
            <v>8039</v>
          </cell>
          <cell r="B293">
            <v>650</v>
          </cell>
          <cell r="C293" t="str">
            <v>SICK SCHEME/EMPLOYEE BENEFITS</v>
          </cell>
        </row>
        <row r="294">
          <cell r="A294">
            <v>8039</v>
          </cell>
          <cell r="B294">
            <v>660</v>
          </cell>
          <cell r="C294" t="str">
            <v>SICK SCHEME/EMPLOYEE BENEFITS</v>
          </cell>
        </row>
        <row r="295">
          <cell r="A295">
            <v>8039</v>
          </cell>
          <cell r="B295">
            <v>680</v>
          </cell>
          <cell r="C295" t="str">
            <v>SICK SCHEME/EMPLOYEE BENEFITS</v>
          </cell>
        </row>
        <row r="296">
          <cell r="A296">
            <v>803901</v>
          </cell>
          <cell r="B296">
            <v>100</v>
          </cell>
          <cell r="C296" t="str">
            <v>EMPLOYEE BENEFITS HOME LEAVE</v>
          </cell>
        </row>
        <row r="297">
          <cell r="A297">
            <v>803901</v>
          </cell>
          <cell r="B297">
            <v>150</v>
          </cell>
          <cell r="C297" t="str">
            <v>EMPLOYEE BENEFITS HOME LEAVE</v>
          </cell>
        </row>
        <row r="298">
          <cell r="A298">
            <v>803901</v>
          </cell>
          <cell r="B298">
            <v>200</v>
          </cell>
          <cell r="C298" t="str">
            <v>EMPLOYEE BENEFITS</v>
          </cell>
        </row>
        <row r="299">
          <cell r="A299">
            <v>803901</v>
          </cell>
          <cell r="B299">
            <v>300</v>
          </cell>
          <cell r="C299" t="str">
            <v>EMPLOYEE BENEFITS HOME LEAVE</v>
          </cell>
        </row>
        <row r="300">
          <cell r="A300">
            <v>803901</v>
          </cell>
          <cell r="B300">
            <v>600</v>
          </cell>
          <cell r="C300" t="str">
            <v>EMPLOYEE BENEFITS HOME LEAVE</v>
          </cell>
        </row>
        <row r="301">
          <cell r="A301">
            <v>803901</v>
          </cell>
          <cell r="B301">
            <v>650</v>
          </cell>
          <cell r="C301" t="str">
            <v>EMPLOYEE BENEFITS HOME LEAVE</v>
          </cell>
        </row>
        <row r="302">
          <cell r="A302">
            <v>803901</v>
          </cell>
          <cell r="B302">
            <v>660</v>
          </cell>
          <cell r="C302" t="str">
            <v>EMPLOYEE BENEFITS HOME LEAVE</v>
          </cell>
        </row>
        <row r="303">
          <cell r="A303">
            <v>803902</v>
          </cell>
          <cell r="B303">
            <v>100</v>
          </cell>
          <cell r="C303" t="str">
            <v>EMPLOYEE BENEFITS SHCOLLAR FEE</v>
          </cell>
        </row>
        <row r="304">
          <cell r="A304">
            <v>803902</v>
          </cell>
          <cell r="B304">
            <v>150</v>
          </cell>
          <cell r="C304" t="str">
            <v>EMPLOYEE BENEFITS SHCOLLAR FEE</v>
          </cell>
        </row>
        <row r="305">
          <cell r="A305" t="str">
            <v>_x000C_</v>
          </cell>
        </row>
        <row r="306">
          <cell r="A306" t="str">
            <v>Beverage</v>
          </cell>
          <cell r="B306" t="str">
            <v>Servi</v>
          </cell>
          <cell r="C306" t="str">
            <v>ces Tunisia                  List</v>
          </cell>
        </row>
        <row r="308">
          <cell r="B308" t="str">
            <v>Cost</v>
          </cell>
        </row>
        <row r="309">
          <cell r="A309" t="str">
            <v>Account</v>
          </cell>
          <cell r="B309" t="str">
            <v>Centr</v>
          </cell>
          <cell r="C309" t="str">
            <v>e</v>
          </cell>
        </row>
        <row r="310">
          <cell r="A310" t="str">
            <v>-------</v>
          </cell>
          <cell r="B310" t="str">
            <v>-----</v>
          </cell>
          <cell r="C310" t="str">
            <v>-</v>
          </cell>
        </row>
        <row r="312">
          <cell r="A312">
            <v>803902</v>
          </cell>
          <cell r="B312">
            <v>200</v>
          </cell>
          <cell r="C312" t="str">
            <v>EMPLOYEE BENEFITS SHCOLLAR FEE</v>
          </cell>
        </row>
        <row r="313">
          <cell r="A313">
            <v>803902</v>
          </cell>
          <cell r="B313">
            <v>300</v>
          </cell>
          <cell r="C313" t="str">
            <v>EMPLOYEE BENEFITS SHCOLLAR FEE</v>
          </cell>
        </row>
        <row r="314">
          <cell r="A314">
            <v>803902</v>
          </cell>
          <cell r="B314">
            <v>600</v>
          </cell>
          <cell r="C314" t="str">
            <v>EMPLOYEE BENEFITS SHCOLLAR FEE</v>
          </cell>
        </row>
        <row r="315">
          <cell r="A315">
            <v>803902</v>
          </cell>
          <cell r="B315">
            <v>650</v>
          </cell>
          <cell r="C315" t="str">
            <v>EMPLOYEE BENEFITS SHCOLLAR FEE</v>
          </cell>
        </row>
        <row r="316">
          <cell r="A316">
            <v>803902</v>
          </cell>
          <cell r="B316">
            <v>660</v>
          </cell>
          <cell r="C316" t="str">
            <v>EMPLOYEE BENEFITS SHCOLLAR FEE</v>
          </cell>
        </row>
        <row r="317">
          <cell r="A317">
            <v>803903</v>
          </cell>
          <cell r="B317">
            <v>100</v>
          </cell>
          <cell r="C317" t="str">
            <v>Spouse Tuition Reimbursment</v>
          </cell>
        </row>
        <row r="318">
          <cell r="A318">
            <v>803903</v>
          </cell>
          <cell r="B318">
            <v>200</v>
          </cell>
          <cell r="C318" t="str">
            <v>Spouse Tuition Reimbursment</v>
          </cell>
        </row>
        <row r="319">
          <cell r="A319">
            <v>803903</v>
          </cell>
          <cell r="B319">
            <v>660</v>
          </cell>
          <cell r="C319" t="str">
            <v>Spouse Tuition Reimbursment</v>
          </cell>
        </row>
        <row r="320">
          <cell r="A320">
            <v>803904</v>
          </cell>
          <cell r="B320">
            <v>100</v>
          </cell>
          <cell r="C320" t="str">
            <v>SHARE SAVE SCHEME * EXP</v>
          </cell>
        </row>
        <row r="321">
          <cell r="A321" t="str">
            <v>8039A</v>
          </cell>
          <cell r="B321">
            <v>100</v>
          </cell>
          <cell r="C321" t="str">
            <v>SICK SCHEME/EMPLOYEE BENEFITS</v>
          </cell>
        </row>
        <row r="322">
          <cell r="A322" t="str">
            <v>8039A</v>
          </cell>
          <cell r="B322">
            <v>200</v>
          </cell>
          <cell r="C322" t="str">
            <v>SICK SCHEME/EMPLOYEE BENEFITS</v>
          </cell>
        </row>
        <row r="323">
          <cell r="A323" t="str">
            <v>8039A</v>
          </cell>
          <cell r="B323">
            <v>300</v>
          </cell>
          <cell r="C323" t="str">
            <v>SICK SCHEME/EMPLOYEE BENEFITS</v>
          </cell>
        </row>
        <row r="324">
          <cell r="A324">
            <v>8040</v>
          </cell>
          <cell r="B324">
            <v>100</v>
          </cell>
          <cell r="C324" t="str">
            <v>MOVING EXPENSES</v>
          </cell>
        </row>
        <row r="325">
          <cell r="A325">
            <v>8040</v>
          </cell>
          <cell r="B325">
            <v>150</v>
          </cell>
          <cell r="C325" t="str">
            <v>MOVING EXPENSES</v>
          </cell>
        </row>
        <row r="326">
          <cell r="A326">
            <v>8040</v>
          </cell>
          <cell r="B326">
            <v>200</v>
          </cell>
          <cell r="C326" t="str">
            <v>MOVING EXPENSES</v>
          </cell>
        </row>
        <row r="327">
          <cell r="A327">
            <v>8040</v>
          </cell>
          <cell r="B327">
            <v>300</v>
          </cell>
          <cell r="C327" t="str">
            <v>MOVING EXPENSES</v>
          </cell>
        </row>
        <row r="328">
          <cell r="A328">
            <v>8040</v>
          </cell>
          <cell r="B328">
            <v>600</v>
          </cell>
          <cell r="C328" t="str">
            <v>MOVING EXPENSES</v>
          </cell>
        </row>
        <row r="329">
          <cell r="A329">
            <v>8040</v>
          </cell>
          <cell r="B329">
            <v>650</v>
          </cell>
          <cell r="C329" t="str">
            <v>MOVING EXPENSES</v>
          </cell>
        </row>
        <row r="330">
          <cell r="A330">
            <v>8040</v>
          </cell>
          <cell r="B330">
            <v>660</v>
          </cell>
          <cell r="C330" t="str">
            <v>MOVING EXPENSES</v>
          </cell>
        </row>
        <row r="331">
          <cell r="A331">
            <v>8040</v>
          </cell>
          <cell r="B331">
            <v>800</v>
          </cell>
          <cell r="C331" t="str">
            <v>MOVING EXPENSES</v>
          </cell>
        </row>
        <row r="332">
          <cell r="A332">
            <v>804001</v>
          </cell>
          <cell r="B332">
            <v>100</v>
          </cell>
          <cell r="C332" t="str">
            <v>Moving Expenses -Temporary Leavin</v>
          </cell>
        </row>
        <row r="333">
          <cell r="A333">
            <v>804001</v>
          </cell>
          <cell r="B333">
            <v>200</v>
          </cell>
          <cell r="C333" t="str">
            <v>Moving Expenses -Temporary Leavin</v>
          </cell>
        </row>
        <row r="334">
          <cell r="A334">
            <v>804001</v>
          </cell>
          <cell r="B334">
            <v>300</v>
          </cell>
          <cell r="C334" t="str">
            <v>Moving Expenses -Temporary Leavin</v>
          </cell>
        </row>
        <row r="335">
          <cell r="A335">
            <v>804001</v>
          </cell>
          <cell r="B335">
            <v>600</v>
          </cell>
          <cell r="C335" t="str">
            <v>Moving Expenses -Temporary Leavin</v>
          </cell>
        </row>
        <row r="336">
          <cell r="A336">
            <v>8041</v>
          </cell>
          <cell r="B336">
            <v>100</v>
          </cell>
          <cell r="C336" t="str">
            <v>EMPLOYEE MEMBERSHIPS</v>
          </cell>
        </row>
        <row r="337">
          <cell r="A337">
            <v>8041</v>
          </cell>
          <cell r="B337">
            <v>150</v>
          </cell>
          <cell r="C337" t="str">
            <v>EMPLOYEE MEMBERSHIPS</v>
          </cell>
        </row>
        <row r="338">
          <cell r="A338">
            <v>8041</v>
          </cell>
          <cell r="B338">
            <v>200</v>
          </cell>
          <cell r="C338" t="str">
            <v>EMPLOYEE MEMBERSHIPS</v>
          </cell>
        </row>
        <row r="339">
          <cell r="A339">
            <v>8041</v>
          </cell>
          <cell r="B339">
            <v>300</v>
          </cell>
          <cell r="C339" t="str">
            <v>EMPLOYEE MEMBERSHIPS</v>
          </cell>
        </row>
        <row r="340">
          <cell r="A340">
            <v>8041</v>
          </cell>
          <cell r="B340">
            <v>600</v>
          </cell>
          <cell r="C340" t="str">
            <v>EMPLOYEE MEMBERSHIPS</v>
          </cell>
        </row>
        <row r="341">
          <cell r="A341">
            <v>8041</v>
          </cell>
          <cell r="B341">
            <v>650</v>
          </cell>
          <cell r="C341" t="str">
            <v>EMPLOYEE MEMBERSHIPS</v>
          </cell>
        </row>
        <row r="342">
          <cell r="A342">
            <v>8041</v>
          </cell>
          <cell r="B342">
            <v>660</v>
          </cell>
          <cell r="C342" t="str">
            <v>EMPLOYEE MEMBERSHIPS</v>
          </cell>
        </row>
        <row r="343">
          <cell r="A343">
            <v>8041</v>
          </cell>
          <cell r="B343">
            <v>800</v>
          </cell>
          <cell r="C343" t="str">
            <v>EMPLOYEE MEMBERSHIPS</v>
          </cell>
        </row>
        <row r="344">
          <cell r="A344">
            <v>8042</v>
          </cell>
          <cell r="B344">
            <v>100</v>
          </cell>
          <cell r="C344" t="str">
            <v>TRAINING</v>
          </cell>
        </row>
        <row r="345">
          <cell r="A345">
            <v>8042</v>
          </cell>
          <cell r="B345">
            <v>150</v>
          </cell>
          <cell r="C345" t="str">
            <v>TRAINING</v>
          </cell>
        </row>
        <row r="346">
          <cell r="A346">
            <v>8042</v>
          </cell>
          <cell r="B346">
            <v>200</v>
          </cell>
          <cell r="C346" t="str">
            <v>TRAINING</v>
          </cell>
        </row>
        <row r="347">
          <cell r="A347">
            <v>8042</v>
          </cell>
          <cell r="B347">
            <v>300</v>
          </cell>
          <cell r="C347" t="str">
            <v>TRAINING</v>
          </cell>
        </row>
        <row r="348">
          <cell r="A348">
            <v>8042</v>
          </cell>
          <cell r="B348">
            <v>600</v>
          </cell>
          <cell r="C348" t="str">
            <v>TRAINING</v>
          </cell>
        </row>
        <row r="349">
          <cell r="A349">
            <v>8042</v>
          </cell>
          <cell r="B349">
            <v>650</v>
          </cell>
          <cell r="C349" t="str">
            <v>TRAINING</v>
          </cell>
        </row>
        <row r="350">
          <cell r="A350">
            <v>8042</v>
          </cell>
          <cell r="B350">
            <v>660</v>
          </cell>
          <cell r="C350" t="str">
            <v>TRAINING</v>
          </cell>
        </row>
        <row r="351">
          <cell r="A351">
            <v>804201</v>
          </cell>
          <cell r="B351">
            <v>100</v>
          </cell>
          <cell r="C351" t="str">
            <v>TRAINING - SPECIAL PROGRAMS</v>
          </cell>
        </row>
        <row r="352">
          <cell r="A352">
            <v>8046</v>
          </cell>
          <cell r="B352">
            <v>100</v>
          </cell>
          <cell r="C352" t="str">
            <v>Flexible Benefits</v>
          </cell>
        </row>
        <row r="353">
          <cell r="A353">
            <v>8046</v>
          </cell>
          <cell r="B353">
            <v>150</v>
          </cell>
          <cell r="C353" t="str">
            <v>Flexible Benefits</v>
          </cell>
        </row>
        <row r="354">
          <cell r="A354">
            <v>8046</v>
          </cell>
          <cell r="B354">
            <v>200</v>
          </cell>
          <cell r="C354" t="str">
            <v>Flexible Benefits</v>
          </cell>
        </row>
        <row r="355">
          <cell r="A355">
            <v>8046</v>
          </cell>
          <cell r="B355">
            <v>300</v>
          </cell>
          <cell r="C355" t="str">
            <v>Flexible Benefits</v>
          </cell>
        </row>
        <row r="356">
          <cell r="A356">
            <v>8046</v>
          </cell>
          <cell r="B356">
            <v>600</v>
          </cell>
          <cell r="C356" t="str">
            <v>Flexible Benefits</v>
          </cell>
        </row>
        <row r="357">
          <cell r="A357">
            <v>8046</v>
          </cell>
          <cell r="B357">
            <v>660</v>
          </cell>
          <cell r="C357" t="str">
            <v>Flexible Benefits</v>
          </cell>
        </row>
        <row r="358">
          <cell r="A358">
            <v>8046</v>
          </cell>
          <cell r="B358">
            <v>800</v>
          </cell>
          <cell r="C358" t="str">
            <v>Flexible Benefits</v>
          </cell>
        </row>
        <row r="359">
          <cell r="A359">
            <v>805101</v>
          </cell>
          <cell r="B359">
            <v>100</v>
          </cell>
          <cell r="C359" t="str">
            <v>TRAVEL - TRANSPORT</v>
          </cell>
        </row>
        <row r="360">
          <cell r="A360">
            <v>805101</v>
          </cell>
          <cell r="B360">
            <v>150</v>
          </cell>
          <cell r="C360" t="str">
            <v>TRAVEL - TRANSPORT</v>
          </cell>
        </row>
        <row r="361">
          <cell r="A361">
            <v>805101</v>
          </cell>
          <cell r="B361">
            <v>200</v>
          </cell>
          <cell r="C361" t="str">
            <v>TRAVEL - TRANSPORT</v>
          </cell>
        </row>
        <row r="362">
          <cell r="A362">
            <v>805101</v>
          </cell>
          <cell r="B362">
            <v>300</v>
          </cell>
          <cell r="C362" t="str">
            <v>TRAVEL - TRANSPORT</v>
          </cell>
        </row>
        <row r="363">
          <cell r="A363">
            <v>805101</v>
          </cell>
          <cell r="B363">
            <v>600</v>
          </cell>
          <cell r="C363" t="str">
            <v>TRAVEL - TRANSPORT</v>
          </cell>
        </row>
        <row r="364">
          <cell r="A364">
            <v>805101</v>
          </cell>
          <cell r="B364">
            <v>650</v>
          </cell>
          <cell r="C364" t="str">
            <v>TRAVEL - TRANSPORT</v>
          </cell>
        </row>
        <row r="365">
          <cell r="A365">
            <v>805101</v>
          </cell>
          <cell r="B365">
            <v>660</v>
          </cell>
          <cell r="C365" t="str">
            <v>TRAVEL - TRANSPORT</v>
          </cell>
        </row>
        <row r="366">
          <cell r="A366" t="str">
            <v>_x000C_</v>
          </cell>
        </row>
        <row r="367">
          <cell r="A367" t="str">
            <v>Beverage</v>
          </cell>
          <cell r="B367" t="str">
            <v>Servi</v>
          </cell>
          <cell r="C367" t="str">
            <v>ces Tunisia                  List</v>
          </cell>
        </row>
        <row r="369">
          <cell r="B369" t="str">
            <v>Cost</v>
          </cell>
        </row>
        <row r="370">
          <cell r="A370" t="str">
            <v>Account</v>
          </cell>
          <cell r="B370" t="str">
            <v>Centr</v>
          </cell>
          <cell r="C370" t="str">
            <v>e</v>
          </cell>
        </row>
        <row r="371">
          <cell r="A371" t="str">
            <v>-------</v>
          </cell>
          <cell r="B371" t="str">
            <v>-----</v>
          </cell>
          <cell r="C371" t="str">
            <v>-</v>
          </cell>
        </row>
        <row r="373">
          <cell r="A373">
            <v>805101</v>
          </cell>
          <cell r="B373">
            <v>680</v>
          </cell>
          <cell r="C373" t="str">
            <v>TRAVEL - TRANSPORT</v>
          </cell>
        </row>
        <row r="374">
          <cell r="A374">
            <v>805102</v>
          </cell>
          <cell r="B374">
            <v>100</v>
          </cell>
          <cell r="C374" t="str">
            <v>TRAVEL - ACCOMODATION</v>
          </cell>
        </row>
        <row r="375">
          <cell r="A375">
            <v>805102</v>
          </cell>
          <cell r="B375">
            <v>150</v>
          </cell>
          <cell r="C375" t="str">
            <v>TRAVEL - ACCOMODATION</v>
          </cell>
        </row>
        <row r="376">
          <cell r="A376">
            <v>805102</v>
          </cell>
          <cell r="B376">
            <v>200</v>
          </cell>
          <cell r="C376" t="str">
            <v>TRAVEL - ACCOMODATION</v>
          </cell>
        </row>
        <row r="377">
          <cell r="A377">
            <v>805102</v>
          </cell>
          <cell r="B377">
            <v>300</v>
          </cell>
          <cell r="C377" t="str">
            <v>TRAVEL - ACCOMODATION</v>
          </cell>
        </row>
        <row r="378">
          <cell r="A378">
            <v>805102</v>
          </cell>
          <cell r="B378">
            <v>600</v>
          </cell>
          <cell r="C378" t="str">
            <v>TRAVEL - ACCOMODATION</v>
          </cell>
        </row>
        <row r="379">
          <cell r="A379">
            <v>805102</v>
          </cell>
          <cell r="B379">
            <v>650</v>
          </cell>
          <cell r="C379" t="str">
            <v>TRAVEL - ACCOMODATION</v>
          </cell>
        </row>
        <row r="380">
          <cell r="A380">
            <v>805102</v>
          </cell>
          <cell r="B380">
            <v>660</v>
          </cell>
          <cell r="C380" t="str">
            <v>TRAVEL - ACCOMODATION</v>
          </cell>
        </row>
        <row r="381">
          <cell r="A381">
            <v>805102</v>
          </cell>
          <cell r="B381">
            <v>680</v>
          </cell>
          <cell r="C381" t="str">
            <v>TRAVEL - ACCOMODATION</v>
          </cell>
        </row>
        <row r="382">
          <cell r="A382" t="str">
            <v>805102A</v>
          </cell>
          <cell r="B382">
            <v>100</v>
          </cell>
          <cell r="C382" t="str">
            <v>TRAVEL - ACCOMODATION</v>
          </cell>
        </row>
        <row r="383">
          <cell r="A383" t="str">
            <v>805102A</v>
          </cell>
          <cell r="B383">
            <v>200</v>
          </cell>
          <cell r="C383" t="str">
            <v>TRAVEL - ACCOMODATION</v>
          </cell>
        </row>
        <row r="384">
          <cell r="A384">
            <v>805103</v>
          </cell>
          <cell r="B384">
            <v>100</v>
          </cell>
          <cell r="C384" t="str">
            <v>TRAVEL - CAR RENTAL</v>
          </cell>
        </row>
        <row r="385">
          <cell r="A385">
            <v>805103</v>
          </cell>
          <cell r="B385">
            <v>150</v>
          </cell>
          <cell r="C385" t="str">
            <v>TRAVEL - CAR RENTAL</v>
          </cell>
        </row>
        <row r="386">
          <cell r="A386">
            <v>805103</v>
          </cell>
          <cell r="B386">
            <v>200</v>
          </cell>
          <cell r="C386" t="str">
            <v>TRAVEL - CAR RENTAL</v>
          </cell>
        </row>
        <row r="387">
          <cell r="A387">
            <v>805103</v>
          </cell>
          <cell r="B387">
            <v>300</v>
          </cell>
          <cell r="C387" t="str">
            <v>TRAVEL - CAR RENTAL</v>
          </cell>
        </row>
        <row r="388">
          <cell r="A388">
            <v>805103</v>
          </cell>
          <cell r="B388">
            <v>600</v>
          </cell>
          <cell r="C388" t="str">
            <v>TRAVEL - CAR RENTAL</v>
          </cell>
        </row>
        <row r="389">
          <cell r="A389">
            <v>805103</v>
          </cell>
          <cell r="B389">
            <v>650</v>
          </cell>
          <cell r="C389" t="str">
            <v>TRAVEL - CAR RENTAL</v>
          </cell>
        </row>
        <row r="390">
          <cell r="A390">
            <v>805103</v>
          </cell>
          <cell r="B390">
            <v>660</v>
          </cell>
          <cell r="C390" t="str">
            <v>TRAVEL - CAR RENTAL</v>
          </cell>
        </row>
        <row r="391">
          <cell r="A391">
            <v>805104</v>
          </cell>
          <cell r="B391">
            <v>100</v>
          </cell>
          <cell r="C391" t="str">
            <v>TRAVEL - OTHERS</v>
          </cell>
        </row>
        <row r="392">
          <cell r="A392">
            <v>805104</v>
          </cell>
          <cell r="B392">
            <v>150</v>
          </cell>
          <cell r="C392" t="str">
            <v>TRAVEL - OTHERS</v>
          </cell>
        </row>
        <row r="393">
          <cell r="A393">
            <v>805104</v>
          </cell>
          <cell r="B393">
            <v>200</v>
          </cell>
          <cell r="C393" t="str">
            <v>TRAVEL - OTHERS</v>
          </cell>
        </row>
        <row r="394">
          <cell r="A394">
            <v>805104</v>
          </cell>
          <cell r="B394">
            <v>300</v>
          </cell>
          <cell r="C394" t="str">
            <v>TRAVEL - OTHERS</v>
          </cell>
        </row>
        <row r="395">
          <cell r="A395">
            <v>805104</v>
          </cell>
          <cell r="B395">
            <v>600</v>
          </cell>
          <cell r="C395" t="str">
            <v>TRAVEL - OTHERS</v>
          </cell>
        </row>
        <row r="396">
          <cell r="A396">
            <v>805104</v>
          </cell>
          <cell r="B396">
            <v>650</v>
          </cell>
          <cell r="C396" t="str">
            <v>TRAVEL - OTHERS</v>
          </cell>
        </row>
        <row r="397">
          <cell r="A397">
            <v>805104</v>
          </cell>
          <cell r="B397">
            <v>660</v>
          </cell>
          <cell r="C397" t="str">
            <v>TRAVEL - OTHERS</v>
          </cell>
        </row>
        <row r="398">
          <cell r="A398">
            <v>8052</v>
          </cell>
          <cell r="B398">
            <v>100</v>
          </cell>
          <cell r="C398" t="str">
            <v>MEALS</v>
          </cell>
        </row>
        <row r="399">
          <cell r="A399">
            <v>8052</v>
          </cell>
          <cell r="B399">
            <v>150</v>
          </cell>
          <cell r="C399" t="str">
            <v>MEALS</v>
          </cell>
        </row>
        <row r="400">
          <cell r="A400">
            <v>8052</v>
          </cell>
          <cell r="B400">
            <v>200</v>
          </cell>
          <cell r="C400" t="str">
            <v>MEALS</v>
          </cell>
        </row>
        <row r="401">
          <cell r="A401">
            <v>8052</v>
          </cell>
          <cell r="B401">
            <v>300</v>
          </cell>
          <cell r="C401" t="str">
            <v>MEALS</v>
          </cell>
        </row>
        <row r="402">
          <cell r="A402">
            <v>8052</v>
          </cell>
          <cell r="B402">
            <v>600</v>
          </cell>
          <cell r="C402" t="str">
            <v>MEALS</v>
          </cell>
        </row>
        <row r="403">
          <cell r="A403">
            <v>8052</v>
          </cell>
          <cell r="B403">
            <v>650</v>
          </cell>
          <cell r="C403" t="str">
            <v>MEALS</v>
          </cell>
        </row>
        <row r="404">
          <cell r="A404">
            <v>8052</v>
          </cell>
          <cell r="B404">
            <v>660</v>
          </cell>
          <cell r="C404" t="str">
            <v>MEALS</v>
          </cell>
        </row>
        <row r="405">
          <cell r="A405">
            <v>8053</v>
          </cell>
          <cell r="B405">
            <v>100</v>
          </cell>
          <cell r="C405" t="str">
            <v>ENTERTAINMENT</v>
          </cell>
        </row>
        <row r="406">
          <cell r="A406">
            <v>8053</v>
          </cell>
          <cell r="B406">
            <v>150</v>
          </cell>
          <cell r="C406" t="str">
            <v>ENTERTAINMENT</v>
          </cell>
        </row>
        <row r="407">
          <cell r="A407">
            <v>8053</v>
          </cell>
          <cell r="B407">
            <v>200</v>
          </cell>
          <cell r="C407" t="str">
            <v>ENTERTAINMENT</v>
          </cell>
        </row>
        <row r="408">
          <cell r="A408">
            <v>8053</v>
          </cell>
          <cell r="B408">
            <v>300</v>
          </cell>
          <cell r="C408" t="str">
            <v>ENTERTAINMENT</v>
          </cell>
        </row>
        <row r="409">
          <cell r="A409">
            <v>8053</v>
          </cell>
          <cell r="B409">
            <v>600</v>
          </cell>
          <cell r="C409" t="str">
            <v>ENTERTAINMENT</v>
          </cell>
        </row>
        <row r="410">
          <cell r="A410">
            <v>8053</v>
          </cell>
          <cell r="B410">
            <v>650</v>
          </cell>
          <cell r="C410" t="str">
            <v>ENTERTAINMENT</v>
          </cell>
        </row>
        <row r="411">
          <cell r="A411">
            <v>8053</v>
          </cell>
          <cell r="B411">
            <v>660</v>
          </cell>
          <cell r="C411" t="str">
            <v>ENTERTAINMENT</v>
          </cell>
        </row>
        <row r="412">
          <cell r="A412">
            <v>8053</v>
          </cell>
          <cell r="B412">
            <v>680</v>
          </cell>
          <cell r="C412" t="str">
            <v>ENTERTAINMENT</v>
          </cell>
        </row>
        <row r="413">
          <cell r="A413">
            <v>8054</v>
          </cell>
          <cell r="B413">
            <v>100</v>
          </cell>
          <cell r="C413" t="str">
            <v>Recruitment / OUT PLACEMENT</v>
          </cell>
        </row>
        <row r="414">
          <cell r="A414">
            <v>8054</v>
          </cell>
          <cell r="B414">
            <v>150</v>
          </cell>
          <cell r="C414" t="str">
            <v>Recruitment / OUT PLACEMENT</v>
          </cell>
        </row>
        <row r="415">
          <cell r="A415">
            <v>8054</v>
          </cell>
          <cell r="B415">
            <v>200</v>
          </cell>
          <cell r="C415" t="str">
            <v>Recruitment / OUT PLACEMENT</v>
          </cell>
        </row>
        <row r="416">
          <cell r="A416">
            <v>8054</v>
          </cell>
          <cell r="B416">
            <v>300</v>
          </cell>
          <cell r="C416" t="str">
            <v>Recruitment / OUT PLACEMENT</v>
          </cell>
        </row>
        <row r="417">
          <cell r="A417">
            <v>8054</v>
          </cell>
          <cell r="B417">
            <v>600</v>
          </cell>
          <cell r="C417" t="str">
            <v>Recruitment / OUT PLACEMENT</v>
          </cell>
        </row>
        <row r="418">
          <cell r="A418">
            <v>8054</v>
          </cell>
          <cell r="B418">
            <v>650</v>
          </cell>
          <cell r="C418" t="str">
            <v>Recruitment / OUT PLACEMENT</v>
          </cell>
        </row>
        <row r="419">
          <cell r="A419">
            <v>8054</v>
          </cell>
          <cell r="B419">
            <v>660</v>
          </cell>
          <cell r="C419" t="str">
            <v>Recruitment / OUT PLACEMENT</v>
          </cell>
        </row>
        <row r="420">
          <cell r="A420">
            <v>8054</v>
          </cell>
          <cell r="B420">
            <v>680</v>
          </cell>
          <cell r="C420" t="str">
            <v>Recruitment / OUT PLACEMENT</v>
          </cell>
        </row>
        <row r="421">
          <cell r="A421">
            <v>8060</v>
          </cell>
          <cell r="B421">
            <v>100</v>
          </cell>
          <cell r="C421" t="str">
            <v>COMPANY MEETINGS</v>
          </cell>
        </row>
        <row r="422">
          <cell r="A422">
            <v>8060</v>
          </cell>
          <cell r="B422">
            <v>200</v>
          </cell>
          <cell r="C422" t="str">
            <v>COMPANY MEETINGS</v>
          </cell>
        </row>
        <row r="423">
          <cell r="A423">
            <v>8070</v>
          </cell>
          <cell r="B423">
            <v>100</v>
          </cell>
          <cell r="C423" t="str">
            <v>CO. MEMBERSHIPS</v>
          </cell>
        </row>
        <row r="424">
          <cell r="A424">
            <v>8070</v>
          </cell>
          <cell r="B424">
            <v>200</v>
          </cell>
          <cell r="C424" t="str">
            <v>CO. MEMBERSHIPS</v>
          </cell>
        </row>
        <row r="425">
          <cell r="A425">
            <v>8070</v>
          </cell>
          <cell r="B425">
            <v>650</v>
          </cell>
          <cell r="C425" t="str">
            <v>CO. MEMBERSHIPS</v>
          </cell>
        </row>
        <row r="426">
          <cell r="A426">
            <v>807001</v>
          </cell>
          <cell r="B426">
            <v>100</v>
          </cell>
          <cell r="C426" t="str">
            <v>SUBSCRIPTIONS</v>
          </cell>
        </row>
        <row r="427">
          <cell r="A427" t="str">
            <v>_x000C_</v>
          </cell>
        </row>
        <row r="428">
          <cell r="A428" t="str">
            <v>Beverage</v>
          </cell>
          <cell r="B428" t="str">
            <v>Servi</v>
          </cell>
          <cell r="C428" t="str">
            <v>ces Tunisia                  List</v>
          </cell>
        </row>
        <row r="430">
          <cell r="B430" t="str">
            <v>Cost</v>
          </cell>
        </row>
        <row r="431">
          <cell r="A431" t="str">
            <v>Account</v>
          </cell>
          <cell r="B431" t="str">
            <v>Centr</v>
          </cell>
          <cell r="C431" t="str">
            <v>e</v>
          </cell>
        </row>
        <row r="432">
          <cell r="A432" t="str">
            <v>-------</v>
          </cell>
          <cell r="B432" t="str">
            <v>-----</v>
          </cell>
          <cell r="C432" t="str">
            <v>-</v>
          </cell>
        </row>
        <row r="434">
          <cell r="A434">
            <v>807001</v>
          </cell>
          <cell r="B434">
            <v>150</v>
          </cell>
          <cell r="C434" t="str">
            <v>SUBSCRIPTIONS</v>
          </cell>
        </row>
        <row r="435">
          <cell r="A435">
            <v>807001</v>
          </cell>
          <cell r="B435">
            <v>200</v>
          </cell>
          <cell r="C435" t="str">
            <v>SUBSCRIPTIONS</v>
          </cell>
        </row>
        <row r="436">
          <cell r="A436">
            <v>807001</v>
          </cell>
          <cell r="B436">
            <v>300</v>
          </cell>
          <cell r="C436" t="str">
            <v>SUBSCRIPTIONS</v>
          </cell>
        </row>
        <row r="437">
          <cell r="A437">
            <v>807001</v>
          </cell>
          <cell r="B437">
            <v>600</v>
          </cell>
          <cell r="C437" t="str">
            <v>SUBSCRIPTIONS</v>
          </cell>
        </row>
        <row r="438">
          <cell r="A438">
            <v>807001</v>
          </cell>
          <cell r="B438">
            <v>650</v>
          </cell>
          <cell r="C438" t="str">
            <v>SUBSCRIPTIONS</v>
          </cell>
        </row>
        <row r="439">
          <cell r="A439">
            <v>807001</v>
          </cell>
          <cell r="B439">
            <v>660</v>
          </cell>
          <cell r="C439" t="str">
            <v>SUBSCRIPTIONS</v>
          </cell>
        </row>
        <row r="440">
          <cell r="A440">
            <v>807002</v>
          </cell>
          <cell r="B440">
            <v>100</v>
          </cell>
          <cell r="C440" t="str">
            <v>BOOKS / MANUALS</v>
          </cell>
        </row>
        <row r="441">
          <cell r="A441">
            <v>807002</v>
          </cell>
          <cell r="B441">
            <v>150</v>
          </cell>
          <cell r="C441" t="str">
            <v>BOOKS / MANUALS</v>
          </cell>
        </row>
        <row r="442">
          <cell r="A442">
            <v>807002</v>
          </cell>
          <cell r="B442">
            <v>200</v>
          </cell>
          <cell r="C442" t="str">
            <v>BOOKS / MANUALS</v>
          </cell>
        </row>
        <row r="443">
          <cell r="A443">
            <v>807002</v>
          </cell>
          <cell r="B443">
            <v>600</v>
          </cell>
          <cell r="C443" t="str">
            <v>BOOKS / MANUALS</v>
          </cell>
        </row>
        <row r="444">
          <cell r="A444">
            <v>807002</v>
          </cell>
          <cell r="B444">
            <v>660</v>
          </cell>
          <cell r="C444" t="str">
            <v>BOOKS / MANUALS</v>
          </cell>
        </row>
        <row r="445">
          <cell r="A445">
            <v>8080</v>
          </cell>
          <cell r="B445">
            <v>100</v>
          </cell>
          <cell r="C445" t="str">
            <v>DONATIONS</v>
          </cell>
        </row>
        <row r="446">
          <cell r="A446">
            <v>8080</v>
          </cell>
          <cell r="B446">
            <v>200</v>
          </cell>
          <cell r="C446" t="str">
            <v>DONATIONS</v>
          </cell>
        </row>
        <row r="447">
          <cell r="A447">
            <v>8083</v>
          </cell>
          <cell r="B447">
            <v>100</v>
          </cell>
          <cell r="C447" t="str">
            <v>TAX ADVISORY SERVICES</v>
          </cell>
        </row>
        <row r="448">
          <cell r="A448">
            <v>8083</v>
          </cell>
          <cell r="B448">
            <v>150</v>
          </cell>
          <cell r="C448" t="str">
            <v>TAX ADVISORY SERVICES</v>
          </cell>
        </row>
        <row r="449">
          <cell r="A449">
            <v>8083</v>
          </cell>
          <cell r="B449">
            <v>200</v>
          </cell>
          <cell r="C449" t="str">
            <v>TAX ADVISORY SERVICES</v>
          </cell>
        </row>
        <row r="450">
          <cell r="A450">
            <v>8083</v>
          </cell>
          <cell r="B450">
            <v>300</v>
          </cell>
          <cell r="C450" t="str">
            <v>TAX ADVISORY SERVICES</v>
          </cell>
        </row>
        <row r="451">
          <cell r="A451">
            <v>8083</v>
          </cell>
          <cell r="B451">
            <v>600</v>
          </cell>
          <cell r="C451" t="str">
            <v>TAX ADVISORY SERVICES</v>
          </cell>
        </row>
        <row r="452">
          <cell r="A452">
            <v>8083</v>
          </cell>
          <cell r="B452">
            <v>650</v>
          </cell>
          <cell r="C452" t="str">
            <v>TAX ADVISORY SERVICES</v>
          </cell>
        </row>
        <row r="453">
          <cell r="A453">
            <v>8083</v>
          </cell>
          <cell r="B453">
            <v>660</v>
          </cell>
          <cell r="C453" t="str">
            <v>TAX ADVISORY SERVICES</v>
          </cell>
        </row>
        <row r="454">
          <cell r="A454" t="str">
            <v>8083A</v>
          </cell>
          <cell r="B454">
            <v>100</v>
          </cell>
          <cell r="C454" t="str">
            <v>TAX ADVISORY SERVICES</v>
          </cell>
        </row>
        <row r="455">
          <cell r="A455">
            <v>8084</v>
          </cell>
          <cell r="B455">
            <v>100</v>
          </cell>
          <cell r="C455" t="str">
            <v>AUDIT EXPENSES</v>
          </cell>
        </row>
        <row r="456">
          <cell r="A456">
            <v>8090</v>
          </cell>
          <cell r="B456">
            <v>100</v>
          </cell>
          <cell r="C456" t="str">
            <v>OUTSIDE SERVICES - MIS</v>
          </cell>
        </row>
        <row r="457">
          <cell r="A457">
            <v>8090</v>
          </cell>
          <cell r="B457">
            <v>150</v>
          </cell>
          <cell r="C457" t="str">
            <v>OUTSIDE SERVICES - MIS</v>
          </cell>
        </row>
        <row r="458">
          <cell r="A458">
            <v>8090</v>
          </cell>
          <cell r="B458">
            <v>200</v>
          </cell>
          <cell r="C458" t="str">
            <v>OUTSIDE SERVICES - MIS</v>
          </cell>
        </row>
        <row r="459">
          <cell r="A459">
            <v>8090</v>
          </cell>
          <cell r="B459">
            <v>300</v>
          </cell>
          <cell r="C459" t="str">
            <v>OUTSIDE SERVICES - MIS</v>
          </cell>
        </row>
        <row r="460">
          <cell r="A460">
            <v>8090</v>
          </cell>
          <cell r="B460">
            <v>600</v>
          </cell>
          <cell r="C460" t="str">
            <v>OUTSIDE SERVICES - MIS</v>
          </cell>
        </row>
        <row r="461">
          <cell r="A461">
            <v>8090</v>
          </cell>
          <cell r="B461">
            <v>650</v>
          </cell>
          <cell r="C461" t="str">
            <v>OUTSIDE SERVICES - MIS</v>
          </cell>
        </row>
        <row r="462">
          <cell r="A462">
            <v>8090</v>
          </cell>
          <cell r="B462">
            <v>660</v>
          </cell>
          <cell r="C462" t="str">
            <v>OUTSIDE SERVICES - MIS</v>
          </cell>
        </row>
        <row r="463">
          <cell r="A463">
            <v>8096</v>
          </cell>
          <cell r="B463">
            <v>100</v>
          </cell>
          <cell r="C463" t="str">
            <v>LEGAL COSTS</v>
          </cell>
        </row>
        <row r="464">
          <cell r="A464">
            <v>8096</v>
          </cell>
          <cell r="B464">
            <v>300</v>
          </cell>
          <cell r="C464" t="str">
            <v>LEGAL COSTS</v>
          </cell>
        </row>
        <row r="465">
          <cell r="A465">
            <v>8096</v>
          </cell>
          <cell r="B465">
            <v>650</v>
          </cell>
          <cell r="C465" t="str">
            <v>LEGAL COSTS</v>
          </cell>
        </row>
        <row r="466">
          <cell r="A466" t="str">
            <v>8096A</v>
          </cell>
          <cell r="B466">
            <v>100</v>
          </cell>
          <cell r="C466" t="str">
            <v>LEGAL COSTS</v>
          </cell>
        </row>
        <row r="467">
          <cell r="A467">
            <v>8141</v>
          </cell>
          <cell r="B467">
            <v>100</v>
          </cell>
          <cell r="C467" t="str">
            <v>RENT OF PREMISES</v>
          </cell>
        </row>
        <row r="468">
          <cell r="A468">
            <v>8141</v>
          </cell>
          <cell r="B468">
            <v>200</v>
          </cell>
          <cell r="C468" t="str">
            <v>RENT OF PREMISES</v>
          </cell>
        </row>
        <row r="469">
          <cell r="A469">
            <v>8141</v>
          </cell>
          <cell r="B469">
            <v>300</v>
          </cell>
          <cell r="C469" t="str">
            <v>RENT OF PREMISES</v>
          </cell>
        </row>
        <row r="470">
          <cell r="A470">
            <v>8141</v>
          </cell>
          <cell r="B470">
            <v>650</v>
          </cell>
          <cell r="C470" t="str">
            <v>RENT OF PREMISES</v>
          </cell>
        </row>
        <row r="471">
          <cell r="A471">
            <v>8142</v>
          </cell>
          <cell r="B471">
            <v>100</v>
          </cell>
          <cell r="C471" t="str">
            <v>ELECTRICITY, GAS ETC.</v>
          </cell>
        </row>
        <row r="472">
          <cell r="A472">
            <v>8142</v>
          </cell>
          <cell r="B472">
            <v>150</v>
          </cell>
          <cell r="C472" t="str">
            <v>ELECTRICITY, GAS ETC.</v>
          </cell>
        </row>
        <row r="473">
          <cell r="A473">
            <v>8142</v>
          </cell>
          <cell r="B473">
            <v>300</v>
          </cell>
          <cell r="C473" t="str">
            <v>ELECTRICITY, GAS ETC.</v>
          </cell>
        </row>
        <row r="474">
          <cell r="A474">
            <v>8142</v>
          </cell>
          <cell r="B474">
            <v>660</v>
          </cell>
          <cell r="C474" t="str">
            <v>ELECTRICITY, GAS ETC.</v>
          </cell>
        </row>
        <row r="475">
          <cell r="A475" t="str">
            <v>8142A</v>
          </cell>
          <cell r="B475">
            <v>100</v>
          </cell>
          <cell r="C475" t="str">
            <v>ELECTRICITY, GAS ETC.</v>
          </cell>
        </row>
        <row r="476">
          <cell r="A476">
            <v>8143</v>
          </cell>
          <cell r="B476">
            <v>100</v>
          </cell>
          <cell r="C476" t="str">
            <v>OUTSIDE STORAGE</v>
          </cell>
        </row>
        <row r="477">
          <cell r="A477">
            <v>8143</v>
          </cell>
          <cell r="B477">
            <v>150</v>
          </cell>
          <cell r="C477" t="str">
            <v>OUTSIDE STORAGE</v>
          </cell>
        </row>
        <row r="478">
          <cell r="A478">
            <v>8143</v>
          </cell>
          <cell r="B478">
            <v>300</v>
          </cell>
          <cell r="C478" t="str">
            <v>OUTSIDE STORAGE</v>
          </cell>
        </row>
        <row r="479">
          <cell r="A479">
            <v>8143</v>
          </cell>
          <cell r="B479">
            <v>600</v>
          </cell>
          <cell r="C479" t="str">
            <v>OUTSIDE STORAGE</v>
          </cell>
        </row>
        <row r="480">
          <cell r="A480">
            <v>8144</v>
          </cell>
          <cell r="B480">
            <v>100</v>
          </cell>
          <cell r="C480" t="str">
            <v>SECURITY SERVICES</v>
          </cell>
        </row>
        <row r="481">
          <cell r="A481">
            <v>8145</v>
          </cell>
          <cell r="B481">
            <v>100</v>
          </cell>
          <cell r="C481" t="str">
            <v>CUSTODIAL SERVICES</v>
          </cell>
        </row>
        <row r="482">
          <cell r="A482">
            <v>8145</v>
          </cell>
          <cell r="B482">
            <v>150</v>
          </cell>
          <cell r="C482" t="str">
            <v>CUSTODIAL SERVICES</v>
          </cell>
        </row>
        <row r="483">
          <cell r="A483">
            <v>8145</v>
          </cell>
          <cell r="B483">
            <v>650</v>
          </cell>
          <cell r="C483" t="str">
            <v>CUSTODIAL SERVICES</v>
          </cell>
        </row>
        <row r="484">
          <cell r="A484">
            <v>8145</v>
          </cell>
          <cell r="B484">
            <v>660</v>
          </cell>
          <cell r="C484" t="str">
            <v>CUSTODIAL SERVICES</v>
          </cell>
        </row>
        <row r="485">
          <cell r="A485">
            <v>8160</v>
          </cell>
          <cell r="B485">
            <v>100</v>
          </cell>
          <cell r="C485" t="str">
            <v>REPAIRS AND MAINTENANCE</v>
          </cell>
        </row>
        <row r="486">
          <cell r="A486">
            <v>8160</v>
          </cell>
          <cell r="B486">
            <v>150</v>
          </cell>
          <cell r="C486" t="str">
            <v>REPAIRS AND MAINTENANCE</v>
          </cell>
        </row>
        <row r="487">
          <cell r="A487">
            <v>8160</v>
          </cell>
          <cell r="B487">
            <v>200</v>
          </cell>
          <cell r="C487" t="str">
            <v>REPAIRS AND MAINTENANCE</v>
          </cell>
        </row>
        <row r="488">
          <cell r="A488" t="str">
            <v>_x000C_</v>
          </cell>
        </row>
        <row r="489">
          <cell r="A489" t="str">
            <v>Beverage</v>
          </cell>
          <cell r="B489" t="str">
            <v>Servi</v>
          </cell>
          <cell r="C489" t="str">
            <v>ces Tunisia                  List</v>
          </cell>
        </row>
        <row r="491">
          <cell r="B491" t="str">
            <v>Cost</v>
          </cell>
        </row>
        <row r="492">
          <cell r="A492" t="str">
            <v>Account</v>
          </cell>
          <cell r="B492" t="str">
            <v>Centr</v>
          </cell>
          <cell r="C492" t="str">
            <v>e</v>
          </cell>
        </row>
        <row r="493">
          <cell r="A493" t="str">
            <v>-------</v>
          </cell>
          <cell r="B493" t="str">
            <v>-----</v>
          </cell>
          <cell r="C493" t="str">
            <v>-</v>
          </cell>
        </row>
        <row r="495">
          <cell r="A495">
            <v>8160</v>
          </cell>
          <cell r="B495">
            <v>300</v>
          </cell>
          <cell r="C495" t="str">
            <v>REPAIRS AND MAINTENANCE</v>
          </cell>
        </row>
        <row r="496">
          <cell r="A496">
            <v>8160</v>
          </cell>
          <cell r="B496">
            <v>600</v>
          </cell>
          <cell r="C496" t="str">
            <v>REPAIRS AND MAINTENANCE</v>
          </cell>
        </row>
        <row r="497">
          <cell r="A497">
            <v>8160</v>
          </cell>
          <cell r="B497">
            <v>650</v>
          </cell>
          <cell r="C497" t="str">
            <v>REPAIRS AND MAINTENANCE</v>
          </cell>
        </row>
        <row r="498">
          <cell r="A498">
            <v>8160</v>
          </cell>
          <cell r="B498">
            <v>660</v>
          </cell>
          <cell r="C498" t="str">
            <v>REPAIRS AND MAINTENANCE</v>
          </cell>
        </row>
        <row r="499">
          <cell r="A499">
            <v>8160</v>
          </cell>
          <cell r="B499">
            <v>680</v>
          </cell>
          <cell r="C499" t="str">
            <v>REPAIRS AND MAINTENANCE</v>
          </cell>
        </row>
        <row r="500">
          <cell r="A500">
            <v>816001</v>
          </cell>
          <cell r="B500">
            <v>300</v>
          </cell>
          <cell r="C500" t="str">
            <v>REPAIRS &amp; maintenance - moto</v>
          </cell>
        </row>
        <row r="501">
          <cell r="A501">
            <v>816005</v>
          </cell>
          <cell r="B501">
            <v>100</v>
          </cell>
          <cell r="C501" t="str">
            <v>CAR - ACCDENT REPAIRS</v>
          </cell>
        </row>
        <row r="502">
          <cell r="A502">
            <v>816005</v>
          </cell>
          <cell r="B502">
            <v>200</v>
          </cell>
          <cell r="C502" t="str">
            <v>CAR - ACCDENT REPAIRS</v>
          </cell>
        </row>
        <row r="503">
          <cell r="A503">
            <v>8201</v>
          </cell>
          <cell r="B503">
            <v>100</v>
          </cell>
          <cell r="C503" t="str">
            <v>TELEPHONE</v>
          </cell>
        </row>
        <row r="504">
          <cell r="A504">
            <v>8201</v>
          </cell>
          <cell r="B504">
            <v>150</v>
          </cell>
          <cell r="C504" t="str">
            <v>TELEPHONE</v>
          </cell>
        </row>
        <row r="505">
          <cell r="A505">
            <v>8201</v>
          </cell>
          <cell r="B505">
            <v>200</v>
          </cell>
          <cell r="C505" t="str">
            <v>TELEPHONE</v>
          </cell>
        </row>
        <row r="506">
          <cell r="A506">
            <v>8201</v>
          </cell>
          <cell r="B506">
            <v>300</v>
          </cell>
          <cell r="C506" t="str">
            <v>TELEPHONE</v>
          </cell>
        </row>
        <row r="507">
          <cell r="A507">
            <v>8201</v>
          </cell>
          <cell r="B507">
            <v>600</v>
          </cell>
          <cell r="C507" t="str">
            <v>TELEPHONE</v>
          </cell>
        </row>
        <row r="508">
          <cell r="A508">
            <v>8201</v>
          </cell>
          <cell r="B508">
            <v>650</v>
          </cell>
          <cell r="C508" t="str">
            <v>TELEPHONE</v>
          </cell>
        </row>
        <row r="509">
          <cell r="A509">
            <v>8201</v>
          </cell>
          <cell r="B509">
            <v>660</v>
          </cell>
          <cell r="C509" t="str">
            <v>TELEPHONE</v>
          </cell>
        </row>
        <row r="510">
          <cell r="A510">
            <v>8201</v>
          </cell>
          <cell r="B510">
            <v>680</v>
          </cell>
          <cell r="C510" t="str">
            <v>TELEPHONE</v>
          </cell>
        </row>
        <row r="511">
          <cell r="A511" t="str">
            <v>8201A</v>
          </cell>
          <cell r="B511">
            <v>100</v>
          </cell>
          <cell r="C511" t="str">
            <v>TELEPHONE</v>
          </cell>
        </row>
        <row r="512">
          <cell r="A512">
            <v>8203</v>
          </cell>
          <cell r="B512">
            <v>100</v>
          </cell>
          <cell r="C512" t="str">
            <v>POSTAGE</v>
          </cell>
        </row>
        <row r="513">
          <cell r="A513">
            <v>8203</v>
          </cell>
          <cell r="B513">
            <v>200</v>
          </cell>
          <cell r="C513" t="str">
            <v>POSTAGE</v>
          </cell>
        </row>
        <row r="514">
          <cell r="A514">
            <v>8203</v>
          </cell>
          <cell r="B514">
            <v>300</v>
          </cell>
          <cell r="C514" t="str">
            <v>POSTAGE</v>
          </cell>
        </row>
        <row r="515">
          <cell r="A515">
            <v>8203</v>
          </cell>
          <cell r="B515">
            <v>600</v>
          </cell>
          <cell r="C515" t="str">
            <v>POSTAGE</v>
          </cell>
        </row>
        <row r="516">
          <cell r="A516">
            <v>8203</v>
          </cell>
          <cell r="B516">
            <v>650</v>
          </cell>
          <cell r="C516" t="str">
            <v>POSTAGE</v>
          </cell>
        </row>
        <row r="517">
          <cell r="A517">
            <v>8203</v>
          </cell>
          <cell r="B517">
            <v>660</v>
          </cell>
          <cell r="C517" t="str">
            <v>POSTAGE</v>
          </cell>
        </row>
        <row r="518">
          <cell r="A518">
            <v>8210</v>
          </cell>
          <cell r="B518">
            <v>100</v>
          </cell>
          <cell r="C518" t="str">
            <v>INSURANCE</v>
          </cell>
        </row>
        <row r="519">
          <cell r="A519">
            <v>8210</v>
          </cell>
          <cell r="B519">
            <v>200</v>
          </cell>
          <cell r="C519" t="str">
            <v>INSURANCE</v>
          </cell>
        </row>
        <row r="520">
          <cell r="A520">
            <v>8210</v>
          </cell>
          <cell r="B520">
            <v>300</v>
          </cell>
          <cell r="C520" t="str">
            <v>INSURANCE</v>
          </cell>
        </row>
        <row r="521">
          <cell r="A521">
            <v>8210</v>
          </cell>
          <cell r="B521">
            <v>600</v>
          </cell>
          <cell r="C521" t="str">
            <v>INSURANCE</v>
          </cell>
        </row>
        <row r="522">
          <cell r="A522">
            <v>8210</v>
          </cell>
          <cell r="B522">
            <v>650</v>
          </cell>
          <cell r="C522" t="str">
            <v>INSURANCE</v>
          </cell>
        </row>
        <row r="523">
          <cell r="A523">
            <v>8210</v>
          </cell>
          <cell r="B523">
            <v>660</v>
          </cell>
          <cell r="C523" t="str">
            <v>INSURANCE</v>
          </cell>
        </row>
        <row r="524">
          <cell r="A524">
            <v>821001</v>
          </cell>
          <cell r="B524">
            <v>100</v>
          </cell>
          <cell r="C524" t="str">
            <v>INSURANCE PROPERTY</v>
          </cell>
        </row>
        <row r="525">
          <cell r="A525">
            <v>821001</v>
          </cell>
          <cell r="B525">
            <v>150</v>
          </cell>
          <cell r="C525" t="str">
            <v>INSURANCE PROPERTY</v>
          </cell>
        </row>
        <row r="526">
          <cell r="A526">
            <v>821001</v>
          </cell>
          <cell r="B526">
            <v>200</v>
          </cell>
          <cell r="C526" t="str">
            <v>INSURANCE PROPERTY</v>
          </cell>
        </row>
        <row r="527">
          <cell r="A527">
            <v>821002</v>
          </cell>
          <cell r="B527">
            <v>100</v>
          </cell>
          <cell r="C527" t="str">
            <v>INSURANCE MOPED</v>
          </cell>
        </row>
        <row r="528">
          <cell r="A528">
            <v>821002</v>
          </cell>
          <cell r="B528">
            <v>150</v>
          </cell>
          <cell r="C528" t="str">
            <v>INSURANCE MOPED</v>
          </cell>
        </row>
        <row r="529">
          <cell r="A529">
            <v>821002</v>
          </cell>
          <cell r="B529">
            <v>300</v>
          </cell>
          <cell r="C529" t="str">
            <v>INSURANCE MOPED</v>
          </cell>
        </row>
        <row r="530">
          <cell r="A530">
            <v>821003</v>
          </cell>
          <cell r="B530">
            <v>100</v>
          </cell>
          <cell r="C530" t="str">
            <v>INSURANCE AUTO</v>
          </cell>
        </row>
        <row r="531">
          <cell r="A531">
            <v>821003</v>
          </cell>
          <cell r="B531">
            <v>150</v>
          </cell>
          <cell r="C531" t="str">
            <v>INSURANCE AUTO</v>
          </cell>
        </row>
        <row r="532">
          <cell r="A532">
            <v>821003</v>
          </cell>
          <cell r="B532">
            <v>200</v>
          </cell>
          <cell r="C532" t="str">
            <v>INSURANCE AUTO</v>
          </cell>
        </row>
        <row r="533">
          <cell r="A533">
            <v>821003</v>
          </cell>
          <cell r="B533">
            <v>300</v>
          </cell>
          <cell r="C533" t="str">
            <v>INSURANCE AUTO</v>
          </cell>
        </row>
        <row r="534">
          <cell r="A534">
            <v>821003</v>
          </cell>
          <cell r="B534">
            <v>600</v>
          </cell>
          <cell r="C534" t="str">
            <v>INSURANCE AUTO</v>
          </cell>
        </row>
        <row r="535">
          <cell r="A535">
            <v>821003</v>
          </cell>
          <cell r="B535">
            <v>660</v>
          </cell>
          <cell r="C535" t="str">
            <v>INSURANCE AUTO</v>
          </cell>
        </row>
        <row r="536">
          <cell r="A536">
            <v>821004</v>
          </cell>
          <cell r="B536">
            <v>100</v>
          </cell>
          <cell r="C536" t="str">
            <v>INSURANCE TRAVEL</v>
          </cell>
        </row>
        <row r="537">
          <cell r="A537">
            <v>821004</v>
          </cell>
          <cell r="B537">
            <v>200</v>
          </cell>
          <cell r="C537" t="str">
            <v>INSURANCE TRAVEL</v>
          </cell>
        </row>
        <row r="538">
          <cell r="A538">
            <v>821004</v>
          </cell>
          <cell r="B538">
            <v>300</v>
          </cell>
          <cell r="C538" t="str">
            <v>INSURANCE TRAVEL</v>
          </cell>
        </row>
        <row r="539">
          <cell r="A539">
            <v>821004</v>
          </cell>
          <cell r="B539">
            <v>600</v>
          </cell>
          <cell r="C539" t="str">
            <v>INSURANCE TRAVEL</v>
          </cell>
        </row>
        <row r="540">
          <cell r="A540">
            <v>8211</v>
          </cell>
          <cell r="B540">
            <v>100</v>
          </cell>
          <cell r="C540" t="str">
            <v>BANK CHARGES</v>
          </cell>
        </row>
        <row r="541">
          <cell r="A541">
            <v>8211</v>
          </cell>
          <cell r="B541">
            <v>650</v>
          </cell>
          <cell r="C541" t="str">
            <v>BANK CHARGES</v>
          </cell>
        </row>
        <row r="542">
          <cell r="A542">
            <v>8211</v>
          </cell>
          <cell r="B542">
            <v>680</v>
          </cell>
          <cell r="C542" t="str">
            <v>BANK CHARGES</v>
          </cell>
        </row>
        <row r="543">
          <cell r="A543">
            <v>8221</v>
          </cell>
          <cell r="B543">
            <v>100</v>
          </cell>
          <cell r="C543" t="str">
            <v>PETROL &amp; OIL</v>
          </cell>
        </row>
        <row r="544">
          <cell r="A544">
            <v>8221</v>
          </cell>
          <cell r="B544">
            <v>150</v>
          </cell>
          <cell r="C544" t="str">
            <v>PETROL &amp; OIL</v>
          </cell>
        </row>
        <row r="545">
          <cell r="A545">
            <v>8221</v>
          </cell>
          <cell r="B545">
            <v>200</v>
          </cell>
          <cell r="C545" t="str">
            <v>PETROL &amp; OIL</v>
          </cell>
        </row>
        <row r="546">
          <cell r="A546">
            <v>8221</v>
          </cell>
          <cell r="B546">
            <v>300</v>
          </cell>
          <cell r="C546" t="str">
            <v>PETROL &amp; OIL</v>
          </cell>
        </row>
        <row r="547">
          <cell r="A547">
            <v>8221</v>
          </cell>
          <cell r="B547">
            <v>600</v>
          </cell>
          <cell r="C547" t="str">
            <v>PETROL &amp; OIL</v>
          </cell>
        </row>
        <row r="548">
          <cell r="A548">
            <v>8221</v>
          </cell>
          <cell r="B548">
            <v>650</v>
          </cell>
          <cell r="C548" t="str">
            <v>PETROL &amp; OIL</v>
          </cell>
        </row>
        <row r="549">
          <cell r="A549" t="str">
            <v>_x000C_</v>
          </cell>
        </row>
        <row r="550">
          <cell r="A550" t="str">
            <v>Beverage</v>
          </cell>
          <cell r="B550" t="str">
            <v>Servi</v>
          </cell>
          <cell r="C550" t="str">
            <v>ces Tunisia                  List</v>
          </cell>
        </row>
        <row r="552">
          <cell r="B552" t="str">
            <v>Cost</v>
          </cell>
        </row>
        <row r="553">
          <cell r="A553" t="str">
            <v>Account</v>
          </cell>
          <cell r="B553" t="str">
            <v>Centr</v>
          </cell>
          <cell r="C553" t="str">
            <v>e</v>
          </cell>
        </row>
        <row r="554">
          <cell r="A554" t="str">
            <v>-------</v>
          </cell>
          <cell r="B554" t="str">
            <v>-----</v>
          </cell>
          <cell r="C554" t="str">
            <v>-</v>
          </cell>
        </row>
        <row r="556">
          <cell r="A556">
            <v>8221</v>
          </cell>
          <cell r="B556">
            <v>660</v>
          </cell>
          <cell r="C556" t="str">
            <v>PETROL &amp; OIL</v>
          </cell>
        </row>
        <row r="557">
          <cell r="A557">
            <v>8226</v>
          </cell>
          <cell r="B557">
            <v>100</v>
          </cell>
          <cell r="C557" t="str">
            <v>SUPPLIES USED - GENERAL</v>
          </cell>
        </row>
        <row r="558">
          <cell r="A558">
            <v>8226</v>
          </cell>
          <cell r="B558">
            <v>150</v>
          </cell>
          <cell r="C558" t="str">
            <v>SUPPLIES USED - GENERAL</v>
          </cell>
        </row>
        <row r="559">
          <cell r="A559">
            <v>8226</v>
          </cell>
          <cell r="B559">
            <v>200</v>
          </cell>
          <cell r="C559" t="str">
            <v>SUPPLIES USED - GENERAL</v>
          </cell>
        </row>
        <row r="560">
          <cell r="A560">
            <v>8226</v>
          </cell>
          <cell r="B560">
            <v>300</v>
          </cell>
          <cell r="C560" t="str">
            <v>SUPPLIES USED - GENERAL</v>
          </cell>
        </row>
        <row r="561">
          <cell r="A561">
            <v>8226</v>
          </cell>
          <cell r="B561">
            <v>600</v>
          </cell>
          <cell r="C561" t="str">
            <v>SUPPLIES USED - GENERAL</v>
          </cell>
        </row>
        <row r="562">
          <cell r="A562">
            <v>8226</v>
          </cell>
          <cell r="B562">
            <v>650</v>
          </cell>
          <cell r="C562" t="str">
            <v>SUPPLIES USED - GENERAL</v>
          </cell>
        </row>
        <row r="563">
          <cell r="A563">
            <v>8226</v>
          </cell>
          <cell r="B563">
            <v>660</v>
          </cell>
          <cell r="C563" t="str">
            <v>SUPPLIES USED - GENERAL</v>
          </cell>
        </row>
        <row r="564">
          <cell r="A564">
            <v>8226</v>
          </cell>
          <cell r="B564">
            <v>680</v>
          </cell>
          <cell r="C564" t="str">
            <v>SUPPLIES USED - GENERAL</v>
          </cell>
        </row>
        <row r="565">
          <cell r="A565">
            <v>822601</v>
          </cell>
          <cell r="B565">
            <v>100</v>
          </cell>
          <cell r="C565" t="str">
            <v>STATIONERY</v>
          </cell>
        </row>
        <row r="566">
          <cell r="A566">
            <v>822601</v>
          </cell>
          <cell r="B566">
            <v>150</v>
          </cell>
          <cell r="C566" t="str">
            <v>STATIONERY</v>
          </cell>
        </row>
        <row r="567">
          <cell r="A567">
            <v>822601</v>
          </cell>
          <cell r="B567">
            <v>200</v>
          </cell>
          <cell r="C567" t="str">
            <v>STATIONERY</v>
          </cell>
        </row>
        <row r="568">
          <cell r="A568">
            <v>822601</v>
          </cell>
          <cell r="B568">
            <v>300</v>
          </cell>
          <cell r="C568" t="str">
            <v>STATIONERY</v>
          </cell>
        </row>
        <row r="569">
          <cell r="A569">
            <v>822601</v>
          </cell>
          <cell r="B569">
            <v>600</v>
          </cell>
          <cell r="C569" t="str">
            <v>STATIONERY</v>
          </cell>
        </row>
        <row r="570">
          <cell r="A570">
            <v>822601</v>
          </cell>
          <cell r="B570">
            <v>650</v>
          </cell>
          <cell r="C570" t="str">
            <v>STATIONERY</v>
          </cell>
        </row>
        <row r="571">
          <cell r="A571">
            <v>8230</v>
          </cell>
          <cell r="B571">
            <v>100</v>
          </cell>
          <cell r="C571" t="str">
            <v>Freight Demurage</v>
          </cell>
        </row>
        <row r="572">
          <cell r="A572">
            <v>8230</v>
          </cell>
          <cell r="B572">
            <v>150</v>
          </cell>
          <cell r="C572" t="str">
            <v>Freight Demurage</v>
          </cell>
        </row>
        <row r="573">
          <cell r="A573">
            <v>8230</v>
          </cell>
          <cell r="B573">
            <v>200</v>
          </cell>
          <cell r="C573" t="str">
            <v>Freight Demurage</v>
          </cell>
        </row>
        <row r="574">
          <cell r="A574">
            <v>8230</v>
          </cell>
          <cell r="B574">
            <v>660</v>
          </cell>
          <cell r="C574" t="str">
            <v>Freight Demurage</v>
          </cell>
        </row>
        <row r="575">
          <cell r="A575">
            <v>8240</v>
          </cell>
          <cell r="B575">
            <v>600</v>
          </cell>
          <cell r="C575" t="str">
            <v>COMPUTER EQUIPMENT RENTAL</v>
          </cell>
        </row>
        <row r="576">
          <cell r="A576">
            <v>8245</v>
          </cell>
          <cell r="B576">
            <v>100</v>
          </cell>
          <cell r="C576" t="str">
            <v>Equipment Rental Expenses - Other</v>
          </cell>
        </row>
        <row r="577">
          <cell r="A577">
            <v>8250</v>
          </cell>
          <cell r="B577">
            <v>200</v>
          </cell>
          <cell r="C577" t="str">
            <v>RATES,LICENCES ETC</v>
          </cell>
        </row>
        <row r="578">
          <cell r="A578">
            <v>8250</v>
          </cell>
          <cell r="B578">
            <v>600</v>
          </cell>
          <cell r="C578" t="str">
            <v>RATES,LICENCES ETC</v>
          </cell>
        </row>
        <row r="579">
          <cell r="A579">
            <v>825001</v>
          </cell>
          <cell r="B579">
            <v>100</v>
          </cell>
          <cell r="C579" t="str">
            <v>CAR ROAD TAX</v>
          </cell>
        </row>
        <row r="580">
          <cell r="A580">
            <v>825001</v>
          </cell>
          <cell r="B580">
            <v>150</v>
          </cell>
          <cell r="C580" t="str">
            <v>CAR ROAD TAX</v>
          </cell>
        </row>
        <row r="581">
          <cell r="A581">
            <v>825001</v>
          </cell>
          <cell r="B581">
            <v>200</v>
          </cell>
          <cell r="C581" t="str">
            <v>CAR ROAD TAX</v>
          </cell>
        </row>
        <row r="582">
          <cell r="A582">
            <v>825001</v>
          </cell>
          <cell r="B582">
            <v>300</v>
          </cell>
          <cell r="C582" t="str">
            <v>CAR ROAD TAX</v>
          </cell>
        </row>
        <row r="583">
          <cell r="A583">
            <v>825001</v>
          </cell>
          <cell r="B583">
            <v>600</v>
          </cell>
          <cell r="C583" t="str">
            <v>CAR ROAD TAX</v>
          </cell>
        </row>
        <row r="584">
          <cell r="A584">
            <v>825001</v>
          </cell>
          <cell r="B584">
            <v>650</v>
          </cell>
          <cell r="C584" t="str">
            <v>CAR ROAD TAX</v>
          </cell>
        </row>
        <row r="585">
          <cell r="A585">
            <v>825001</v>
          </cell>
          <cell r="B585">
            <v>660</v>
          </cell>
          <cell r="C585" t="str">
            <v>CAR ROAD TAX</v>
          </cell>
        </row>
        <row r="586">
          <cell r="A586">
            <v>825002</v>
          </cell>
          <cell r="B586">
            <v>100</v>
          </cell>
          <cell r="C586" t="str">
            <v>TRAVEL STAMP</v>
          </cell>
        </row>
        <row r="587">
          <cell r="A587">
            <v>825002</v>
          </cell>
          <cell r="B587">
            <v>150</v>
          </cell>
          <cell r="C587" t="str">
            <v>TRAVEL STAMP</v>
          </cell>
        </row>
        <row r="588">
          <cell r="A588">
            <v>825002</v>
          </cell>
          <cell r="B588">
            <v>200</v>
          </cell>
          <cell r="C588" t="str">
            <v>TRAVEL STAMP</v>
          </cell>
        </row>
        <row r="589">
          <cell r="A589">
            <v>825002</v>
          </cell>
          <cell r="B589">
            <v>300</v>
          </cell>
          <cell r="C589" t="str">
            <v>TRAVEL STAMP</v>
          </cell>
        </row>
        <row r="590">
          <cell r="A590">
            <v>825002</v>
          </cell>
          <cell r="B590">
            <v>600</v>
          </cell>
          <cell r="C590" t="str">
            <v>TRAVEL STAMP</v>
          </cell>
        </row>
        <row r="591">
          <cell r="A591">
            <v>825002</v>
          </cell>
          <cell r="B591">
            <v>660</v>
          </cell>
          <cell r="C591" t="str">
            <v>TRAVEL STAMP</v>
          </cell>
        </row>
        <row r="592">
          <cell r="A592">
            <v>825003</v>
          </cell>
          <cell r="B592">
            <v>100</v>
          </cell>
          <cell r="C592" t="str">
            <v>CAR REGISTRATION DUTIES</v>
          </cell>
        </row>
        <row r="593">
          <cell r="A593">
            <v>825003</v>
          </cell>
          <cell r="B593">
            <v>150</v>
          </cell>
          <cell r="C593" t="str">
            <v>CAR REGISTRATION DUTIES</v>
          </cell>
        </row>
        <row r="594">
          <cell r="A594">
            <v>825003</v>
          </cell>
          <cell r="B594">
            <v>200</v>
          </cell>
          <cell r="C594" t="str">
            <v>CAR REGISTRATION DUTIES</v>
          </cell>
        </row>
        <row r="595">
          <cell r="A595">
            <v>825003</v>
          </cell>
          <cell r="B595">
            <v>300</v>
          </cell>
          <cell r="C595" t="str">
            <v>CAR REGISTRATION DUTIES</v>
          </cell>
        </row>
        <row r="596">
          <cell r="A596">
            <v>825003</v>
          </cell>
          <cell r="B596">
            <v>600</v>
          </cell>
          <cell r="C596" t="str">
            <v>CAR REGISTRATION DUTIES</v>
          </cell>
        </row>
        <row r="597">
          <cell r="A597">
            <v>825003</v>
          </cell>
          <cell r="B597">
            <v>660</v>
          </cell>
          <cell r="C597" t="str">
            <v>CAR REGISTRATION DUTIES</v>
          </cell>
        </row>
        <row r="598">
          <cell r="A598">
            <v>8260</v>
          </cell>
          <cell r="B598">
            <v>100</v>
          </cell>
          <cell r="C598" t="str">
            <v>MISCELLANEOUS</v>
          </cell>
        </row>
        <row r="599">
          <cell r="A599">
            <v>8260</v>
          </cell>
          <cell r="B599">
            <v>200</v>
          </cell>
          <cell r="C599" t="str">
            <v>MISCELLANEOUS</v>
          </cell>
        </row>
        <row r="600">
          <cell r="A600">
            <v>8260</v>
          </cell>
          <cell r="B600">
            <v>300</v>
          </cell>
          <cell r="C600" t="str">
            <v>MISCELLANEOUS</v>
          </cell>
        </row>
        <row r="601">
          <cell r="A601">
            <v>8260</v>
          </cell>
          <cell r="B601">
            <v>650</v>
          </cell>
          <cell r="C601" t="str">
            <v>MISCELLANEOUS</v>
          </cell>
        </row>
        <row r="602">
          <cell r="A602">
            <v>8404</v>
          </cell>
          <cell r="B602">
            <v>650</v>
          </cell>
          <cell r="C602" t="str">
            <v>ALGERIA SERVICE CHARGE</v>
          </cell>
        </row>
        <row r="603">
          <cell r="A603">
            <v>8411</v>
          </cell>
          <cell r="B603">
            <v>100</v>
          </cell>
          <cell r="C603" t="str">
            <v>TRANSFER DEPARTEMENTAL EXPENSE</v>
          </cell>
        </row>
        <row r="604">
          <cell r="A604">
            <v>8411</v>
          </cell>
          <cell r="B604">
            <v>200</v>
          </cell>
          <cell r="C604" t="str">
            <v>TRANSFER DEPARTEMENTAL EXPENSE</v>
          </cell>
        </row>
        <row r="605">
          <cell r="A605">
            <v>8411</v>
          </cell>
          <cell r="B605">
            <v>300</v>
          </cell>
          <cell r="C605" t="str">
            <v>TRANSFER DEPARTEMENTAL EXPENSE</v>
          </cell>
        </row>
        <row r="606">
          <cell r="A606">
            <v>8411</v>
          </cell>
          <cell r="B606">
            <v>650</v>
          </cell>
          <cell r="C606" t="str">
            <v>TRANSFER DEPARTEMENTAL EXPENSE</v>
          </cell>
        </row>
        <row r="607">
          <cell r="A607">
            <v>8485</v>
          </cell>
          <cell r="B607">
            <v>100</v>
          </cell>
          <cell r="C607" t="str">
            <v>DEPRECIATION</v>
          </cell>
        </row>
        <row r="608">
          <cell r="A608">
            <v>8485</v>
          </cell>
          <cell r="B608">
            <v>150</v>
          </cell>
          <cell r="C608" t="str">
            <v>DEPRECIATION</v>
          </cell>
        </row>
        <row r="609">
          <cell r="A609">
            <v>8485</v>
          </cell>
          <cell r="B609">
            <v>200</v>
          </cell>
          <cell r="C609" t="str">
            <v>DEPRECIATION</v>
          </cell>
        </row>
        <row r="610">
          <cell r="A610" t="str">
            <v>_x000C_</v>
          </cell>
        </row>
        <row r="611">
          <cell r="A611" t="str">
            <v>Beverage</v>
          </cell>
          <cell r="B611" t="str">
            <v>Servi</v>
          </cell>
          <cell r="C611" t="str">
            <v>ces Tunisia                  List</v>
          </cell>
        </row>
        <row r="613">
          <cell r="B613" t="str">
            <v>Cost</v>
          </cell>
        </row>
        <row r="614">
          <cell r="A614" t="str">
            <v>Account</v>
          </cell>
          <cell r="B614" t="str">
            <v>Centr</v>
          </cell>
          <cell r="C614" t="str">
            <v>e</v>
          </cell>
        </row>
        <row r="615">
          <cell r="A615" t="str">
            <v>-------</v>
          </cell>
          <cell r="B615" t="str">
            <v>-----</v>
          </cell>
          <cell r="C615" t="str">
            <v>-</v>
          </cell>
        </row>
        <row r="617">
          <cell r="A617">
            <v>8485</v>
          </cell>
          <cell r="B617">
            <v>300</v>
          </cell>
          <cell r="C617" t="str">
            <v>DEPRECIATION</v>
          </cell>
        </row>
        <row r="618">
          <cell r="A618">
            <v>8485</v>
          </cell>
          <cell r="B618">
            <v>600</v>
          </cell>
          <cell r="C618" t="str">
            <v>DEPRECIATION</v>
          </cell>
        </row>
        <row r="619">
          <cell r="A619">
            <v>8485</v>
          </cell>
          <cell r="B619">
            <v>650</v>
          </cell>
          <cell r="C619" t="str">
            <v>DEPRECIATION</v>
          </cell>
        </row>
        <row r="620">
          <cell r="A620">
            <v>8485</v>
          </cell>
          <cell r="B620">
            <v>660</v>
          </cell>
          <cell r="C620" t="str">
            <v>DEPRECIATION</v>
          </cell>
        </row>
        <row r="621">
          <cell r="A621">
            <v>8485</v>
          </cell>
          <cell r="B621">
            <v>680</v>
          </cell>
          <cell r="C621" t="str">
            <v>DEPRECIATION</v>
          </cell>
        </row>
        <row r="622">
          <cell r="A622" t="str">
            <v>8485A</v>
          </cell>
          <cell r="B622">
            <v>100</v>
          </cell>
          <cell r="C622" t="str">
            <v>DEPRECIATION</v>
          </cell>
        </row>
        <row r="623">
          <cell r="A623">
            <v>8501</v>
          </cell>
          <cell r="B623">
            <v>680</v>
          </cell>
          <cell r="C623" t="str">
            <v>TV - MEDIA</v>
          </cell>
        </row>
        <row r="624">
          <cell r="A624">
            <v>8613</v>
          </cell>
          <cell r="B624">
            <v>600</v>
          </cell>
          <cell r="C624" t="str">
            <v>AGENCY FEES</v>
          </cell>
        </row>
        <row r="625">
          <cell r="A625">
            <v>8613</v>
          </cell>
          <cell r="B625">
            <v>660</v>
          </cell>
          <cell r="C625" t="str">
            <v>AGENCY FEES</v>
          </cell>
        </row>
        <row r="626">
          <cell r="A626">
            <v>8613</v>
          </cell>
          <cell r="B626">
            <v>680</v>
          </cell>
          <cell r="C626" t="str">
            <v>AGENCY FEES</v>
          </cell>
        </row>
        <row r="627">
          <cell r="A627">
            <v>9901</v>
          </cell>
          <cell r="B627">
            <v>0</v>
          </cell>
          <cell r="C627" t="str">
            <v>DEBTORS SUSPENSE</v>
          </cell>
        </row>
        <row r="628">
          <cell r="A628">
            <v>9902</v>
          </cell>
          <cell r="B628">
            <v>0</v>
          </cell>
          <cell r="C628" t="str">
            <v>CREDITORS SUSPENSE</v>
          </cell>
        </row>
        <row r="629">
          <cell r="A629">
            <v>9909</v>
          </cell>
          <cell r="B629">
            <v>0</v>
          </cell>
          <cell r="C629" t="str">
            <v>BALANCES SUSPENSE</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refreshError="1"/>
      <sheetData sheetId="156"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lance comparative (2)"/>
      <sheetName val="RAS"/>
      <sheetName val="BALANCE BFI INTERNAIONAL AU 30 "/>
      <sheetName val="BALANCE AU 30.06.01"/>
      <sheetName val="Balance_comparative_(2)"/>
      <sheetName val="Balance_comparative_(2)1"/>
      <sheetName val="Balance_comparative_(2)2"/>
      <sheetName val="BALANCE_AU_30_06_01"/>
      <sheetName val="BALANCE_BFI_INTERNAIONAL_AU_30_"/>
      <sheetName val="BALANCEAUX"/>
      <sheetName val="variationflux00"/>
    </sheetNames>
    <sheetDataSet>
      <sheetData sheetId="0" refreshError="1">
        <row r="1">
          <cell r="F1">
            <v>36678</v>
          </cell>
          <cell r="G1">
            <v>37043</v>
          </cell>
          <cell r="J1" t="str">
            <v>Affectation</v>
          </cell>
        </row>
        <row r="3">
          <cell r="F3">
            <v>835</v>
          </cell>
          <cell r="G3">
            <v>5116.4650000000001</v>
          </cell>
          <cell r="J3" t="str">
            <v>Achats consommés</v>
          </cell>
        </row>
        <row r="4">
          <cell r="F4">
            <v>3161.395</v>
          </cell>
          <cell r="G4">
            <v>3422.7660000000001</v>
          </cell>
          <cell r="J4" t="str">
            <v>Achats consommés</v>
          </cell>
        </row>
        <row r="5">
          <cell r="F5">
            <v>3177.8249999999998</v>
          </cell>
          <cell r="G5">
            <v>3809.6219999999998</v>
          </cell>
          <cell r="J5" t="str">
            <v>Achats consommés</v>
          </cell>
        </row>
        <row r="6">
          <cell r="F6">
            <v>7926.03</v>
          </cell>
          <cell r="G6">
            <v>7917.69</v>
          </cell>
          <cell r="J6" t="str">
            <v>Achats consommés</v>
          </cell>
        </row>
        <row r="7">
          <cell r="F7">
            <v>1038</v>
          </cell>
          <cell r="G7">
            <v>0</v>
          </cell>
          <cell r="J7" t="str">
            <v>Achats consommés</v>
          </cell>
        </row>
        <row r="8">
          <cell r="F8">
            <v>0</v>
          </cell>
          <cell r="G8">
            <v>851</v>
          </cell>
          <cell r="J8" t="str">
            <v>Achats consommés</v>
          </cell>
        </row>
        <row r="9">
          <cell r="F9">
            <v>462.92700000000002</v>
          </cell>
          <cell r="G9">
            <v>253.99</v>
          </cell>
          <cell r="J9" t="str">
            <v>Achats consommés</v>
          </cell>
        </row>
        <row r="10">
          <cell r="F10">
            <v>1452.8320000000001</v>
          </cell>
          <cell r="G10">
            <v>2141.0839999999998</v>
          </cell>
          <cell r="J10" t="str">
            <v>Achats consommés</v>
          </cell>
        </row>
        <row r="11">
          <cell r="F11">
            <v>2400.4780000000001</v>
          </cell>
          <cell r="G11">
            <v>2114.605</v>
          </cell>
          <cell r="J11" t="str">
            <v>Achats consommés</v>
          </cell>
        </row>
        <row r="12">
          <cell r="F12">
            <v>1597.5219999999999</v>
          </cell>
          <cell r="G12">
            <v>1665.91</v>
          </cell>
          <cell r="J12" t="str">
            <v>Achats consommés</v>
          </cell>
        </row>
        <row r="13">
          <cell r="F13">
            <v>372.9</v>
          </cell>
          <cell r="G13">
            <v>277.60000000000002</v>
          </cell>
          <cell r="J13" t="str">
            <v>Achats consommés</v>
          </cell>
        </row>
        <row r="14">
          <cell r="F14">
            <v>3689.4160000000002</v>
          </cell>
          <cell r="G14">
            <v>4981.5060000000003</v>
          </cell>
          <cell r="J14" t="str">
            <v>Achats consommés</v>
          </cell>
        </row>
        <row r="15">
          <cell r="F15">
            <v>26114.325000000001</v>
          </cell>
          <cell r="G15">
            <v>32552.237999999998</v>
          </cell>
        </row>
        <row r="16">
          <cell r="F16">
            <v>-732127.95</v>
          </cell>
          <cell r="G16">
            <v>-821316.78</v>
          </cell>
          <cell r="J16" t="str">
            <v>Chiffre d'affaires</v>
          </cell>
        </row>
        <row r="17">
          <cell r="F17">
            <v>-10687.5</v>
          </cell>
          <cell r="G17">
            <v>0</v>
          </cell>
          <cell r="J17" t="str">
            <v>Chiffre d'affaires</v>
          </cell>
        </row>
        <row r="18">
          <cell r="F18">
            <v>-742815.45</v>
          </cell>
          <cell r="G18">
            <v>-821316.78</v>
          </cell>
        </row>
        <row r="19">
          <cell r="F19">
            <v>158667.60200000001</v>
          </cell>
          <cell r="G19">
            <v>149405.97</v>
          </cell>
          <cell r="J19" t="str">
            <v>Charges du personnel</v>
          </cell>
        </row>
        <row r="20">
          <cell r="F20">
            <v>23609.254000000001</v>
          </cell>
          <cell r="G20">
            <v>26308.555</v>
          </cell>
          <cell r="J20" t="str">
            <v>Charges du personnel</v>
          </cell>
        </row>
        <row r="21">
          <cell r="F21">
            <v>20889.204000000002</v>
          </cell>
          <cell r="G21">
            <v>24957.155999999999</v>
          </cell>
          <cell r="J21" t="str">
            <v>Charges du personnel</v>
          </cell>
        </row>
        <row r="22">
          <cell r="F22">
            <v>12735.642</v>
          </cell>
          <cell r="G22">
            <v>0</v>
          </cell>
          <cell r="J22" t="str">
            <v>Charges du personnel</v>
          </cell>
        </row>
        <row r="23">
          <cell r="F23">
            <v>2229.3679999999999</v>
          </cell>
          <cell r="G23">
            <v>2200</v>
          </cell>
          <cell r="J23" t="str">
            <v>Charges du personnel</v>
          </cell>
        </row>
        <row r="24">
          <cell r="F24">
            <v>8968.8250000000007</v>
          </cell>
          <cell r="G24">
            <v>10143.383</v>
          </cell>
          <cell r="J24" t="str">
            <v>Charges du personnel</v>
          </cell>
        </row>
        <row r="25">
          <cell r="F25">
            <v>1814.402</v>
          </cell>
          <cell r="G25">
            <v>1604.316</v>
          </cell>
          <cell r="J25" t="str">
            <v>Charges du personnel</v>
          </cell>
        </row>
        <row r="26">
          <cell r="F26">
            <v>1740.7660000000001</v>
          </cell>
          <cell r="G26">
            <v>1973.5840000000001</v>
          </cell>
          <cell r="J26" t="str">
            <v>Charges du personnel</v>
          </cell>
        </row>
        <row r="27">
          <cell r="F27">
            <v>1061.3030000000001</v>
          </cell>
          <cell r="G27">
            <v>0</v>
          </cell>
          <cell r="J27" t="str">
            <v>Charges du personnel</v>
          </cell>
        </row>
        <row r="28">
          <cell r="F28">
            <v>0</v>
          </cell>
          <cell r="G28">
            <v>30947.502</v>
          </cell>
          <cell r="J28" t="str">
            <v>Charges du personnel</v>
          </cell>
        </row>
        <row r="29">
          <cell r="F29">
            <v>0</v>
          </cell>
          <cell r="G29">
            <v>6153.6540000000005</v>
          </cell>
          <cell r="J29" t="str">
            <v>Charges du personnel</v>
          </cell>
        </row>
        <row r="30">
          <cell r="F30">
            <v>0</v>
          </cell>
          <cell r="G30">
            <v>5920.7520000000004</v>
          </cell>
          <cell r="J30" t="str">
            <v>Charges du personnel</v>
          </cell>
        </row>
        <row r="31">
          <cell r="F31">
            <v>16954.519</v>
          </cell>
          <cell r="G31">
            <v>21167.488000000001</v>
          </cell>
          <cell r="J31" t="str">
            <v>Charges du personnel</v>
          </cell>
        </row>
        <row r="32">
          <cell r="F32">
            <v>4194.9049999999997</v>
          </cell>
          <cell r="G32">
            <v>4605.625</v>
          </cell>
          <cell r="J32" t="str">
            <v>Charges du personnel</v>
          </cell>
        </row>
        <row r="33">
          <cell r="F33">
            <v>3771.79</v>
          </cell>
          <cell r="G33">
            <v>4443.5730000000003</v>
          </cell>
          <cell r="J33" t="str">
            <v>Charges du personnel</v>
          </cell>
        </row>
        <row r="34">
          <cell r="F34">
            <v>0</v>
          </cell>
          <cell r="G34">
            <v>6418.3379999999997</v>
          </cell>
          <cell r="J34" t="str">
            <v>Charges du personnel</v>
          </cell>
        </row>
        <row r="35">
          <cell r="F35">
            <v>2276.4949999999999</v>
          </cell>
          <cell r="G35">
            <v>0</v>
          </cell>
          <cell r="J35" t="str">
            <v>Charges du personnel</v>
          </cell>
        </row>
        <row r="36">
          <cell r="F36">
            <v>4209.9350000000004</v>
          </cell>
          <cell r="G36">
            <v>0</v>
          </cell>
          <cell r="J36" t="str">
            <v>Charges du personnel</v>
          </cell>
        </row>
        <row r="37">
          <cell r="F37">
            <v>4827.3149999999996</v>
          </cell>
          <cell r="G37">
            <v>5516.1769999999997</v>
          </cell>
          <cell r="J37" t="str">
            <v>Charges du personnel</v>
          </cell>
        </row>
        <row r="38">
          <cell r="F38">
            <v>1092.825</v>
          </cell>
          <cell r="G38">
            <v>763.82</v>
          </cell>
          <cell r="J38" t="str">
            <v>Charges du personnel</v>
          </cell>
        </row>
        <row r="39">
          <cell r="F39">
            <v>1055.864</v>
          </cell>
          <cell r="G39">
            <v>1013.827</v>
          </cell>
          <cell r="J39" t="str">
            <v>Charges du personnel</v>
          </cell>
        </row>
        <row r="40">
          <cell r="F40">
            <v>0</v>
          </cell>
          <cell r="G40">
            <v>2375.748</v>
          </cell>
          <cell r="J40" t="str">
            <v>Charges du personnel</v>
          </cell>
        </row>
        <row r="41">
          <cell r="F41">
            <v>0</v>
          </cell>
          <cell r="G41">
            <v>11.279</v>
          </cell>
          <cell r="J41" t="str">
            <v>Charges du personnel</v>
          </cell>
        </row>
        <row r="42">
          <cell r="F42">
            <v>270100.01400000008</v>
          </cell>
          <cell r="G42">
            <v>305930.74699999997</v>
          </cell>
        </row>
        <row r="43">
          <cell r="F43">
            <v>-27789.678</v>
          </cell>
          <cell r="G43">
            <v>-3812.1990000000001</v>
          </cell>
          <cell r="J43" t="str">
            <v>Autres produits ordinaires</v>
          </cell>
        </row>
        <row r="44">
          <cell r="F44">
            <v>-2170.0320000000002</v>
          </cell>
          <cell r="G44">
            <v>-4715.2619999999997</v>
          </cell>
          <cell r="J44" t="str">
            <v>Autres produits ordinaires</v>
          </cell>
        </row>
        <row r="45">
          <cell r="F45">
            <v>-137.928</v>
          </cell>
          <cell r="G45">
            <v>-2987.92</v>
          </cell>
          <cell r="J45" t="str">
            <v>Autres produits ordinaires</v>
          </cell>
        </row>
        <row r="46">
          <cell r="F46">
            <v>-6278.2929999999997</v>
          </cell>
          <cell r="G46">
            <v>0</v>
          </cell>
          <cell r="J46" t="str">
            <v>Autres produits ordinaires</v>
          </cell>
        </row>
        <row r="47">
          <cell r="F47">
            <v>-36375.930999999997</v>
          </cell>
          <cell r="G47">
            <v>-11515.380999999999</v>
          </cell>
        </row>
        <row r="48">
          <cell r="F48">
            <v>504.63799999999998</v>
          </cell>
          <cell r="G48">
            <v>1209.107</v>
          </cell>
          <cell r="J48" t="str">
            <v>Dotation aux amort et aux provisions</v>
          </cell>
        </row>
        <row r="49">
          <cell r="F49">
            <v>2455.288</v>
          </cell>
          <cell r="G49">
            <v>2215.3040000000001</v>
          </cell>
          <cell r="J49" t="str">
            <v>Dotation aux amort et aux provisions</v>
          </cell>
        </row>
        <row r="50">
          <cell r="F50">
            <v>7449.8419999999996</v>
          </cell>
          <cell r="G50">
            <v>8243.6200000000008</v>
          </cell>
          <cell r="J50" t="str">
            <v>Dotation aux amort et aux provisions</v>
          </cell>
        </row>
        <row r="51">
          <cell r="F51">
            <v>42.363999999999997</v>
          </cell>
          <cell r="G51">
            <v>49.863999999999997</v>
          </cell>
          <cell r="J51" t="str">
            <v>Dotation aux amort et aux provisions</v>
          </cell>
        </row>
        <row r="52">
          <cell r="F52">
            <v>23164.026999999998</v>
          </cell>
          <cell r="G52">
            <v>27699.760999999999</v>
          </cell>
          <cell r="J52" t="str">
            <v>Dotation aux amort et aux provisions</v>
          </cell>
        </row>
        <row r="53">
          <cell r="F53">
            <v>60.235999999999997</v>
          </cell>
          <cell r="G53">
            <v>113.93600000000001</v>
          </cell>
          <cell r="J53" t="str">
            <v>Dotation aux amort et aux provisions</v>
          </cell>
        </row>
        <row r="54">
          <cell r="F54">
            <v>821.976</v>
          </cell>
          <cell r="G54">
            <v>1458.886</v>
          </cell>
          <cell r="J54" t="str">
            <v>Dotation aux amort et aux provisions</v>
          </cell>
        </row>
        <row r="55">
          <cell r="F55">
            <v>570.46199999999999</v>
          </cell>
          <cell r="G55">
            <v>1262.518</v>
          </cell>
          <cell r="J55" t="str">
            <v>Dotation aux amort et aux provisions</v>
          </cell>
        </row>
        <row r="56">
          <cell r="F56">
            <v>139.32499999999999</v>
          </cell>
          <cell r="G56">
            <v>139.32499999999999</v>
          </cell>
          <cell r="J56" t="str">
            <v>Dotation aux amort et aux provisions</v>
          </cell>
        </row>
        <row r="57">
          <cell r="F57">
            <v>35208.157999999996</v>
          </cell>
          <cell r="G57">
            <v>42392.320999999996</v>
          </cell>
        </row>
        <row r="58">
          <cell r="F58">
            <v>52913.784</v>
          </cell>
          <cell r="G58">
            <v>28959.972000000002</v>
          </cell>
          <cell r="J58" t="str">
            <v>Autres charges externe</v>
          </cell>
        </row>
        <row r="59">
          <cell r="F59">
            <v>2736</v>
          </cell>
          <cell r="G59">
            <v>2794.9079999999999</v>
          </cell>
          <cell r="J59" t="str">
            <v>Autres charges externe</v>
          </cell>
        </row>
        <row r="60">
          <cell r="F60">
            <v>815.59299999999996</v>
          </cell>
          <cell r="G60">
            <v>180</v>
          </cell>
          <cell r="J60" t="str">
            <v>Autres charges externe</v>
          </cell>
        </row>
        <row r="61">
          <cell r="F61">
            <v>0</v>
          </cell>
          <cell r="G61">
            <v>2495</v>
          </cell>
          <cell r="J61" t="str">
            <v>Autres charges externe</v>
          </cell>
        </row>
        <row r="62">
          <cell r="F62">
            <v>8557.4320000000007</v>
          </cell>
          <cell r="G62">
            <v>8185.5969999999998</v>
          </cell>
          <cell r="J62" t="str">
            <v>Autres charges externe</v>
          </cell>
        </row>
        <row r="63">
          <cell r="F63">
            <v>8107.6970000000001</v>
          </cell>
          <cell r="G63">
            <v>6820.2960000000003</v>
          </cell>
          <cell r="J63" t="str">
            <v>Autres charges externe</v>
          </cell>
        </row>
        <row r="64">
          <cell r="F64">
            <v>1070.4000000000001</v>
          </cell>
          <cell r="G64">
            <v>2140.8000000000002</v>
          </cell>
          <cell r="J64" t="str">
            <v>Autres charges externe</v>
          </cell>
        </row>
        <row r="65">
          <cell r="F65">
            <v>3247.748</v>
          </cell>
          <cell r="G65">
            <v>4690.1769999999997</v>
          </cell>
          <cell r="J65" t="str">
            <v>Autres charges externe</v>
          </cell>
        </row>
        <row r="66">
          <cell r="F66">
            <v>3034.4070000000002</v>
          </cell>
          <cell r="G66">
            <v>8273.4940000000006</v>
          </cell>
          <cell r="J66" t="str">
            <v>Autres charges externe</v>
          </cell>
        </row>
        <row r="67">
          <cell r="F67">
            <v>2062.547</v>
          </cell>
          <cell r="G67">
            <v>1278.394</v>
          </cell>
          <cell r="J67" t="str">
            <v>Autres charges externe</v>
          </cell>
        </row>
        <row r="68">
          <cell r="F68">
            <v>635</v>
          </cell>
          <cell r="G68">
            <v>463.2</v>
          </cell>
          <cell r="J68" t="str">
            <v>Autres charges externe</v>
          </cell>
        </row>
        <row r="69">
          <cell r="F69">
            <v>2000</v>
          </cell>
          <cell r="G69">
            <v>430</v>
          </cell>
          <cell r="J69" t="str">
            <v>Autres charges externe</v>
          </cell>
        </row>
        <row r="70">
          <cell r="F70">
            <v>0</v>
          </cell>
          <cell r="G70">
            <v>5837</v>
          </cell>
          <cell r="J70" t="str">
            <v>Autres charges externe</v>
          </cell>
        </row>
        <row r="71">
          <cell r="F71">
            <v>0</v>
          </cell>
          <cell r="G71">
            <v>6808.5910000000003</v>
          </cell>
          <cell r="J71" t="str">
            <v>Autres charges externe</v>
          </cell>
        </row>
        <row r="72">
          <cell r="F72">
            <v>105</v>
          </cell>
          <cell r="G72">
            <v>19.95</v>
          </cell>
          <cell r="J72" t="str">
            <v>Autres charges externe</v>
          </cell>
        </row>
        <row r="73">
          <cell r="F73">
            <v>8427.4940000000006</v>
          </cell>
          <cell r="G73">
            <v>2812.3</v>
          </cell>
          <cell r="J73" t="str">
            <v>Autres charges externe</v>
          </cell>
        </row>
        <row r="74">
          <cell r="F74">
            <v>-750</v>
          </cell>
          <cell r="G74">
            <v>818.10799999999995</v>
          </cell>
          <cell r="J74" t="str">
            <v>Autres charges externe</v>
          </cell>
        </row>
        <row r="75">
          <cell r="F75">
            <v>2400</v>
          </cell>
          <cell r="G75">
            <v>2480</v>
          </cell>
          <cell r="J75" t="str">
            <v>Autres charges externe</v>
          </cell>
        </row>
        <row r="76">
          <cell r="F76">
            <v>17547.682000000001</v>
          </cell>
          <cell r="G76">
            <v>9771.6180000000004</v>
          </cell>
          <cell r="J76" t="str">
            <v>Autres charges externe</v>
          </cell>
        </row>
        <row r="77">
          <cell r="F77">
            <v>1868.682</v>
          </cell>
          <cell r="G77">
            <v>7780.7389999999996</v>
          </cell>
          <cell r="J77" t="str">
            <v>Autres charges externe</v>
          </cell>
        </row>
        <row r="78">
          <cell r="F78">
            <v>0</v>
          </cell>
          <cell r="G78">
            <v>2210.8000000000002</v>
          </cell>
          <cell r="J78" t="str">
            <v>Autres charges externe</v>
          </cell>
        </row>
        <row r="79">
          <cell r="F79">
            <v>1393.71</v>
          </cell>
          <cell r="G79">
            <v>1580.7860000000001</v>
          </cell>
          <cell r="J79" t="str">
            <v>Autres charges externe</v>
          </cell>
        </row>
        <row r="80">
          <cell r="F80">
            <v>4072.8330000000001</v>
          </cell>
          <cell r="G80">
            <v>1987.1479999999999</v>
          </cell>
          <cell r="J80" t="str">
            <v>Autres charges externe</v>
          </cell>
        </row>
        <row r="81">
          <cell r="F81">
            <v>980.47500000000002</v>
          </cell>
          <cell r="G81">
            <v>2335.6010000000001</v>
          </cell>
          <cell r="J81" t="str">
            <v>Autres charges externe</v>
          </cell>
        </row>
        <row r="82">
          <cell r="F82">
            <v>5025.3900000000003</v>
          </cell>
          <cell r="G82">
            <v>4167</v>
          </cell>
          <cell r="J82" t="str">
            <v>Autres charges externe</v>
          </cell>
        </row>
        <row r="83">
          <cell r="F83">
            <v>1622.4</v>
          </cell>
          <cell r="G83">
            <v>3367.5</v>
          </cell>
          <cell r="J83" t="str">
            <v>Autres charges externe</v>
          </cell>
        </row>
        <row r="84">
          <cell r="F84">
            <v>9257.5</v>
          </cell>
          <cell r="G84">
            <v>4420.7</v>
          </cell>
          <cell r="J84" t="str">
            <v>Autres charges externe</v>
          </cell>
        </row>
        <row r="85">
          <cell r="F85">
            <v>1120</v>
          </cell>
          <cell r="G85">
            <v>7374.5</v>
          </cell>
          <cell r="J85" t="str">
            <v>Autres charges externe</v>
          </cell>
        </row>
        <row r="86">
          <cell r="F86">
            <v>8110.6530000000002</v>
          </cell>
          <cell r="G86">
            <v>9428.9089999999997</v>
          </cell>
          <cell r="J86" t="str">
            <v>Autres charges externe</v>
          </cell>
        </row>
        <row r="87">
          <cell r="F87">
            <v>11176.21</v>
          </cell>
          <cell r="G87">
            <v>5498.6</v>
          </cell>
          <cell r="J87" t="str">
            <v>Autres charges externe</v>
          </cell>
        </row>
        <row r="88">
          <cell r="F88">
            <v>650.43399999999997</v>
          </cell>
          <cell r="G88">
            <v>5311.7179999999998</v>
          </cell>
          <cell r="J88" t="str">
            <v>Autres charges externe</v>
          </cell>
        </row>
        <row r="89">
          <cell r="F89">
            <v>415.76400000000001</v>
          </cell>
          <cell r="G89">
            <v>930</v>
          </cell>
          <cell r="J89" t="str">
            <v>Autres charges externe</v>
          </cell>
        </row>
        <row r="90">
          <cell r="F90">
            <v>621.44799999999998</v>
          </cell>
          <cell r="G90">
            <v>0</v>
          </cell>
          <cell r="J90" t="str">
            <v>Autres charges externe</v>
          </cell>
        </row>
        <row r="91">
          <cell r="F91">
            <v>5180.3789999999999</v>
          </cell>
          <cell r="G91">
            <v>744.07</v>
          </cell>
          <cell r="J91" t="str">
            <v>Autres charges externe</v>
          </cell>
        </row>
        <row r="92">
          <cell r="F92">
            <v>0</v>
          </cell>
          <cell r="G92">
            <v>0</v>
          </cell>
          <cell r="J92" t="str">
            <v>Autres charges externe</v>
          </cell>
        </row>
        <row r="93">
          <cell r="F93">
            <v>596.29999999999995</v>
          </cell>
          <cell r="G93">
            <v>0</v>
          </cell>
          <cell r="J93" t="str">
            <v>Autres charges externe</v>
          </cell>
        </row>
        <row r="94">
          <cell r="F94">
            <v>0</v>
          </cell>
          <cell r="G94">
            <v>6582.2969999999996</v>
          </cell>
          <cell r="J94" t="str">
            <v>Autres charges externe</v>
          </cell>
        </row>
        <row r="95">
          <cell r="F95">
            <v>309.8</v>
          </cell>
          <cell r="G95">
            <v>72</v>
          </cell>
          <cell r="J95" t="str">
            <v>Autres charges externe</v>
          </cell>
        </row>
        <row r="96">
          <cell r="F96">
            <v>22648.016</v>
          </cell>
          <cell r="G96">
            <v>19813.286</v>
          </cell>
          <cell r="J96" t="str">
            <v>Autres charges externe</v>
          </cell>
        </row>
        <row r="97">
          <cell r="F97">
            <v>2696.75</v>
          </cell>
          <cell r="G97">
            <v>3652.9009999999998</v>
          </cell>
          <cell r="J97" t="str">
            <v>Autres charges externe</v>
          </cell>
        </row>
        <row r="98">
          <cell r="F98">
            <v>6427.3040000000001</v>
          </cell>
          <cell r="G98">
            <v>4668.1270000000004</v>
          </cell>
          <cell r="J98" t="str">
            <v>Autres charges externe</v>
          </cell>
        </row>
        <row r="99">
          <cell r="F99">
            <v>5351.6109999999999</v>
          </cell>
          <cell r="G99">
            <v>4334.59</v>
          </cell>
          <cell r="J99" t="str">
            <v>Autres charges externe</v>
          </cell>
        </row>
        <row r="100">
          <cell r="F100">
            <v>769.24</v>
          </cell>
          <cell r="G100">
            <v>801.07799999999997</v>
          </cell>
          <cell r="J100" t="str">
            <v>Autres charges externe</v>
          </cell>
        </row>
        <row r="101">
          <cell r="F101">
            <v>2872</v>
          </cell>
          <cell r="G101">
            <v>2464</v>
          </cell>
          <cell r="J101" t="str">
            <v>Autres charges externe</v>
          </cell>
        </row>
        <row r="102">
          <cell r="F102">
            <v>8000</v>
          </cell>
          <cell r="G102">
            <v>6469.2539999999999</v>
          </cell>
          <cell r="J102" t="str">
            <v>Autres charges externe</v>
          </cell>
        </row>
        <row r="103">
          <cell r="F103">
            <v>5000</v>
          </cell>
          <cell r="G103">
            <v>3454.65</v>
          </cell>
          <cell r="J103" t="str">
            <v>Autres charges externe</v>
          </cell>
        </row>
        <row r="104">
          <cell r="F104">
            <v>0</v>
          </cell>
          <cell r="G104">
            <v>1200</v>
          </cell>
          <cell r="J104" t="str">
            <v>Autres charges externe</v>
          </cell>
        </row>
        <row r="105">
          <cell r="F105">
            <v>1110.1769999999999</v>
          </cell>
          <cell r="G105">
            <v>1285.528</v>
          </cell>
          <cell r="J105" t="str">
            <v>Autres charges externe</v>
          </cell>
        </row>
        <row r="106">
          <cell r="F106">
            <v>0</v>
          </cell>
          <cell r="G106">
            <v>1080</v>
          </cell>
          <cell r="J106" t="str">
            <v>Autres charges externe</v>
          </cell>
        </row>
        <row r="107">
          <cell r="F107">
            <v>5142.9629999999997</v>
          </cell>
          <cell r="G107">
            <v>0</v>
          </cell>
          <cell r="J107" t="str">
            <v>Autres charges externe</v>
          </cell>
        </row>
        <row r="108">
          <cell r="F108">
            <v>3611.5</v>
          </cell>
          <cell r="G108">
            <v>2750</v>
          </cell>
          <cell r="J108" t="str">
            <v>Autres charges externe</v>
          </cell>
        </row>
        <row r="109">
          <cell r="F109">
            <v>4207.0519999999997</v>
          </cell>
          <cell r="G109">
            <v>3447.134</v>
          </cell>
          <cell r="J109" t="str">
            <v xml:space="preserve">Impots et taxes </v>
          </cell>
        </row>
        <row r="110">
          <cell r="F110">
            <v>472.18700000000001</v>
          </cell>
          <cell r="G110">
            <v>406.411</v>
          </cell>
          <cell r="J110" t="str">
            <v xml:space="preserve">Impots et taxes </v>
          </cell>
        </row>
        <row r="111">
          <cell r="F111">
            <v>422.37299999999999</v>
          </cell>
          <cell r="G111">
            <v>434.18700000000001</v>
          </cell>
          <cell r="J111" t="str">
            <v xml:space="preserve">Impots et taxes </v>
          </cell>
        </row>
        <row r="112">
          <cell r="F112">
            <v>0</v>
          </cell>
          <cell r="G112">
            <v>286.81200000000001</v>
          </cell>
          <cell r="J112" t="str">
            <v xml:space="preserve">Impots et taxes </v>
          </cell>
        </row>
        <row r="113">
          <cell r="F113">
            <v>254.71199999999999</v>
          </cell>
          <cell r="G113">
            <v>0</v>
          </cell>
          <cell r="J113" t="str">
            <v xml:space="preserve">Impots et taxes </v>
          </cell>
        </row>
        <row r="114">
          <cell r="F114">
            <v>521.02</v>
          </cell>
          <cell r="G114">
            <v>0</v>
          </cell>
          <cell r="J114" t="str">
            <v xml:space="preserve">Impots et taxes </v>
          </cell>
        </row>
        <row r="115">
          <cell r="F115">
            <v>2364.038</v>
          </cell>
          <cell r="G115">
            <v>1723.569</v>
          </cell>
          <cell r="J115" t="str">
            <v xml:space="preserve">Impots et taxes </v>
          </cell>
        </row>
        <row r="116">
          <cell r="F116">
            <v>236.09299999999999</v>
          </cell>
          <cell r="G116">
            <v>203.20500000000001</v>
          </cell>
          <cell r="J116" t="str">
            <v xml:space="preserve">Impots et taxes </v>
          </cell>
        </row>
        <row r="117">
          <cell r="F117">
            <v>211.184</v>
          </cell>
          <cell r="G117">
            <v>217.096</v>
          </cell>
          <cell r="J117" t="str">
            <v xml:space="preserve">Impots et taxes </v>
          </cell>
        </row>
        <row r="118">
          <cell r="F118">
            <v>0</v>
          </cell>
          <cell r="G118">
            <v>143.40600000000001</v>
          </cell>
          <cell r="J118" t="str">
            <v xml:space="preserve">Impots et taxes </v>
          </cell>
        </row>
        <row r="119">
          <cell r="F119">
            <v>127.35599999999999</v>
          </cell>
          <cell r="G119">
            <v>0</v>
          </cell>
          <cell r="J119" t="str">
            <v xml:space="preserve">Impots et taxes </v>
          </cell>
        </row>
        <row r="120">
          <cell r="F120">
            <v>1845.3889999999999</v>
          </cell>
          <cell r="G120">
            <v>1959.903</v>
          </cell>
          <cell r="J120" t="str">
            <v xml:space="preserve">Impots et taxes </v>
          </cell>
        </row>
        <row r="121">
          <cell r="F121">
            <v>585</v>
          </cell>
          <cell r="G121">
            <v>1080</v>
          </cell>
          <cell r="J121" t="str">
            <v xml:space="preserve">Impots et taxes </v>
          </cell>
        </row>
        <row r="122">
          <cell r="F122">
            <v>111.29</v>
          </cell>
          <cell r="G122">
            <v>15.2</v>
          </cell>
          <cell r="J122" t="str">
            <v xml:space="preserve">Impots et taxes </v>
          </cell>
        </row>
        <row r="123">
          <cell r="F123">
            <v>0</v>
          </cell>
          <cell r="G123">
            <v>3045</v>
          </cell>
          <cell r="J123" t="str">
            <v xml:space="preserve">Impots et taxes </v>
          </cell>
        </row>
        <row r="124">
          <cell r="F124">
            <v>3908.779</v>
          </cell>
          <cell r="G124">
            <v>723.2</v>
          </cell>
          <cell r="J124" t="str">
            <v xml:space="preserve">Impots et taxes </v>
          </cell>
        </row>
        <row r="125">
          <cell r="F125">
            <v>244208.79599999997</v>
          </cell>
          <cell r="G125">
            <v>224710.30999999994</v>
          </cell>
        </row>
        <row r="126">
          <cell r="F126">
            <v>324.94200000000001</v>
          </cell>
          <cell r="G126">
            <v>64.599999999999994</v>
          </cell>
          <cell r="J126" t="str">
            <v>Charges financières</v>
          </cell>
        </row>
        <row r="127">
          <cell r="F127">
            <v>18589.204000000002</v>
          </cell>
          <cell r="G127">
            <v>27751.218000000001</v>
          </cell>
          <cell r="J127" t="str">
            <v>Charges financières</v>
          </cell>
        </row>
        <row r="128">
          <cell r="F128">
            <v>-0.89200000000000002</v>
          </cell>
          <cell r="G128">
            <v>6.7530000000000001</v>
          </cell>
          <cell r="J128" t="str">
            <v>Charges financières</v>
          </cell>
        </row>
        <row r="129">
          <cell r="F129">
            <v>18913.254000000001</v>
          </cell>
          <cell r="G129">
            <v>27822.571</v>
          </cell>
        </row>
        <row r="130">
          <cell r="F130">
            <v>67587.343999999997</v>
          </cell>
          <cell r="G130">
            <v>69798.39</v>
          </cell>
          <cell r="J130" t="str">
            <v>Impôt sur les bénéfices</v>
          </cell>
        </row>
        <row r="131">
          <cell r="F131">
            <v>67587.343999999997</v>
          </cell>
          <cell r="G131">
            <v>69798.39</v>
          </cell>
        </row>
        <row r="285">
          <cell r="F285">
            <v>-117894.48999999998</v>
          </cell>
          <cell r="G285">
            <v>-134742.049</v>
          </cell>
        </row>
      </sheetData>
      <sheetData sheetId="1" refreshError="1"/>
      <sheetData sheetId="2" refreshError="1"/>
      <sheetData sheetId="3" refreshError="1"/>
      <sheetData sheetId="4"/>
      <sheetData sheetId="5"/>
      <sheetData sheetId="6"/>
      <sheetData sheetId="7"/>
      <sheetData sheetId="8"/>
      <sheetData sheetId="9" refreshError="1"/>
      <sheetData sheetId="1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ariationFLUX00"/>
      <sheetName val="BG"/>
      <sheetName val="actif"/>
      <sheetName val="CP &amp; Passifs"/>
      <sheetName val="P &amp; L "/>
      <sheetName val="Etat des flux "/>
      <sheetName val="Notes"/>
      <sheetName val="SIG"/>
      <sheetName val="BG 2013 V1"/>
      <sheetName val="BG 2013 V2"/>
      <sheetName val="TVI 2012"/>
      <sheetName val="Feuil1"/>
      <sheetName val="Balance comparative (2)"/>
      <sheetName val="CP_&amp;_Passifs"/>
      <sheetName val="P_&amp;_L_"/>
      <sheetName val="Etat_des_flux_"/>
      <sheetName val="BG_2013_V1"/>
      <sheetName val="BG_2013_V2"/>
      <sheetName val="TVI_2012"/>
      <sheetName val="BL GLE 2008-2009"/>
      <sheetName val="INPUT"/>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sheetData sheetId="14"/>
      <sheetData sheetId="15"/>
      <sheetData sheetId="16"/>
      <sheetData sheetId="17"/>
      <sheetData sheetId="18"/>
      <sheetData sheetId="19" refreshError="1"/>
      <sheetData sheetId="2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ead sheet"/>
      <sheetName val="Loan 2019 Summary"/>
      <sheetName val="Test of Covenants "/>
      <sheetName val="Test of Covenants old"/>
      <sheetName val="Overdraft Summary"/>
      <sheetName val="Pledged assets SAP"/>
      <sheetName val="P&amp;L 01-09.2019"/>
      <sheetName val="Balance 09.2019"/>
      <sheetName val="OLD=&gt;"/>
      <sheetName val="Lead old"/>
      <sheetName val="Reconciliation old"/>
      <sheetName val="Loan 2016 Summary old"/>
      <sheetName val="Overdraft Summary old"/>
    </sheetNames>
    <sheetDataSet>
      <sheetData sheetId="0"/>
      <sheetData sheetId="1"/>
      <sheetData sheetId="2"/>
      <sheetData sheetId="3"/>
      <sheetData sheetId="4"/>
      <sheetData sheetId="5"/>
      <sheetData sheetId="6"/>
      <sheetData sheetId="7"/>
      <sheetData sheetId="8"/>
      <sheetData sheetId="9">
        <row r="2">
          <cell r="N2"/>
          <cell r="O2"/>
        </row>
      </sheetData>
      <sheetData sheetId="10"/>
      <sheetData sheetId="11">
        <row r="23">
          <cell r="L23">
            <v>2.5</v>
          </cell>
        </row>
      </sheetData>
      <sheetData sheetId="12"/>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bal"/>
      <sheetName val="Prima"/>
      <sheetName val="Doua"/>
      <sheetName val="Reze"/>
      <sheetName val="Repo"/>
      <sheetName val="Note"/>
      <sheetName val="Remf"/>
      <sheetName val="Relo"/>
      <sheetName val="Plsta"/>
      <sheetName val="Bsit"/>
      <sheetName val="Plsum"/>
      <sheetName val="Plgru"/>
      <sheetName val="Plrap"/>
      <sheetName val="Provi"/>
      <sheetName val="CF2001"/>
      <sheetName val="cashflow(2)"/>
      <sheetName val="Cash"/>
      <sheetName val="IdxUsd"/>
      <sheetName val="StatDoua"/>
      <sheetName val="DinMF"/>
      <sheetName val="V1 20 Average monthly salary"/>
      <sheetName val="F2 100 - TB@31.12.2009"/>
      <sheetName val="F2 110 - Monthly P&amp;L@31.12.2009"/>
      <sheetName val="CEG BMI"/>
      <sheetName val="chelt"/>
      <sheetName val="Inflatie"/>
      <sheetName val="Lead schedules 2000"/>
      <sheetName val="CF"/>
      <sheetName val="Statutory Acc"/>
      <sheetName val="CrossTable"/>
      <sheetName val="FA 31dec"/>
      <sheetName val="Invest 31Dec"/>
      <sheetName val="V1_20_Average_monthly_salary"/>
      <sheetName val="F2_100_-_TB@31_12_2009"/>
      <sheetName val="F2_110_-_Monthly_P&amp;L@31_12_2009"/>
      <sheetName val="CEG_BMI"/>
      <sheetName val="Statutory_Acc"/>
      <sheetName val="V1_20_Average_monthly_salary1"/>
      <sheetName val="F2_100_-_TB@31_12_20091"/>
      <sheetName val="F2_110_-_Monthly_P&amp;L@31_12_2001"/>
      <sheetName val="CEG_BMI1"/>
      <sheetName val="Statutory_Acc1"/>
      <sheetName val="Lead_schedules_2000"/>
      <sheetName val="V1_20_Average_monthly_salary2"/>
      <sheetName val="F2_100_-_TB@31_12_20092"/>
      <sheetName val="F2_110_-_Monthly_P&amp;L@31_12_2002"/>
      <sheetName val="CEG_BMI2"/>
      <sheetName val="Statutory_Acc2"/>
      <sheetName val="Lead_schedules_20001"/>
      <sheetName val="V1_20_Average_monthly_salary3"/>
      <sheetName val="F2_100_-_TB@31_12_20093"/>
      <sheetName val="F2_110_-_Monthly_P&amp;L@31_12_2003"/>
      <sheetName val="CEG_BMI3"/>
      <sheetName val="Statutory_Acc3"/>
      <sheetName val="Lead_schedules_20002"/>
      <sheetName val="V1_20_Average_monthly_salary4"/>
      <sheetName val="F2_100_-_TB@31_12_20094"/>
      <sheetName val="F2_110_-_Monthly_P&amp;L@31_12_2004"/>
      <sheetName val="CEG_BMI4"/>
      <sheetName val="Statutory_Acc4"/>
      <sheetName val="Lead_schedules_20003"/>
      <sheetName val="V1_20_Average_monthly_salary5"/>
      <sheetName val="F2_100_-_TB@31_12_20095"/>
      <sheetName val="F2_110_-_Monthly_P&amp;L@31_12_2005"/>
      <sheetName val="CEG_BMI5"/>
      <sheetName val="Statutory_Acc5"/>
      <sheetName val="Lead_schedules_20004"/>
      <sheetName val="Consolidation"/>
      <sheetName val="Data Carlsrom"/>
      <sheetName val="Data URB"/>
      <sheetName val="bal00_inf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refreshError="1"/>
      <sheetData sheetId="68" refreshError="1"/>
      <sheetData sheetId="69" refreshError="1"/>
      <sheetData sheetId="7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Начална"/>
      <sheetName val="1-Баланс"/>
      <sheetName val="2-Отчет за доходите"/>
      <sheetName val="3-Отчет за паричния поток"/>
      <sheetName val="4-Отчет за собствения капитал"/>
      <sheetName val="Справка 6"/>
      <sheetName val="Справка 7"/>
      <sheetName val="Справка 8"/>
      <sheetName val="Контроли"/>
      <sheetName val="Показатели"/>
      <sheetName val="Danni"/>
      <sheetName val="Nomenklaturi"/>
    </sheetNames>
    <sheetDataSet>
      <sheetData sheetId="0">
        <row r="2">
          <cell r="AA2">
            <v>44620</v>
          </cell>
        </row>
        <row r="3">
          <cell r="A3" t="str">
            <v>на консолидирана основа</v>
          </cell>
          <cell r="AA3" t="str">
            <v>Белниколов и партньори ООД-Петя Белниколова</v>
          </cell>
        </row>
      </sheetData>
      <sheetData sheetId="1">
        <row r="12">
          <cell r="C12">
            <v>13404</v>
          </cell>
        </row>
      </sheetData>
      <sheetData sheetId="2"/>
      <sheetData sheetId="3"/>
      <sheetData sheetId="4"/>
      <sheetData sheetId="5"/>
      <sheetData sheetId="6"/>
      <sheetData sheetId="7"/>
      <sheetData sheetId="8"/>
      <sheetData sheetId="9"/>
      <sheetData sheetId="10"/>
      <sheetData sheetId="1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L GEN Av OD"/>
      <sheetName val="BAL GEN 01-2022"/>
      <sheetName val="OD"/>
      <sheetName val="BAL GEN 02-2022"/>
      <sheetName val="E.Rst 02-22"/>
      <sheetName val="Balance Sheet Report "/>
      <sheetName val="Profit and Loss Report"/>
      <sheetName val="Financial Ratio"/>
    </sheetNames>
    <sheetDataSet>
      <sheetData sheetId="0" refreshError="1"/>
      <sheetData sheetId="1" refreshError="1"/>
      <sheetData sheetId="2"/>
      <sheetData sheetId="3"/>
      <sheetData sheetId="4" refreshError="1"/>
      <sheetData sheetId="5">
        <row r="5">
          <cell r="A5">
            <v>1</v>
          </cell>
          <cell r="C5" t="str">
            <v>ASSETS</v>
          </cell>
          <cell r="D5"/>
        </row>
        <row r="6">
          <cell r="A6">
            <v>2</v>
          </cell>
          <cell r="C6"/>
          <cell r="D6"/>
        </row>
        <row r="7">
          <cell r="A7">
            <v>3</v>
          </cell>
          <cell r="C7" t="str">
            <v>Current Assets</v>
          </cell>
          <cell r="D7" t="str">
            <v/>
          </cell>
        </row>
        <row r="8">
          <cell r="A8">
            <v>4</v>
          </cell>
          <cell r="C8" t="str">
            <v>CASH - Petty Cash</v>
          </cell>
          <cell r="D8">
            <v>4689</v>
          </cell>
        </row>
        <row r="9">
          <cell r="A9">
            <v>5</v>
          </cell>
          <cell r="C9" t="str">
            <v>CASH - Operating Account</v>
          </cell>
          <cell r="D9">
            <v>1570478</v>
          </cell>
        </row>
        <row r="10">
          <cell r="A10">
            <v>6</v>
          </cell>
          <cell r="C10" t="str">
            <v>Obligation</v>
          </cell>
          <cell r="D10">
            <v>-11054688.005999999</v>
          </cell>
        </row>
        <row r="11">
          <cell r="A11">
            <v>7</v>
          </cell>
          <cell r="C11" t="str">
            <v>Other Cash/Obligation 1</v>
          </cell>
          <cell r="D11">
            <v>0</v>
          </cell>
        </row>
        <row r="12">
          <cell r="A12">
            <v>8</v>
          </cell>
          <cell r="C12" t="str">
            <v>Other Cash/Obligation 2</v>
          </cell>
          <cell r="D12">
            <v>0</v>
          </cell>
        </row>
        <row r="13">
          <cell r="A13">
            <v>9</v>
          </cell>
          <cell r="C13" t="str">
            <v>Other Cash/Obligation 3</v>
          </cell>
          <cell r="D13">
            <v>0</v>
          </cell>
        </row>
        <row r="14">
          <cell r="A14">
            <v>10</v>
          </cell>
          <cell r="C14" t="str">
            <v>Other Cash/Obligation 4</v>
          </cell>
          <cell r="D14">
            <v>0</v>
          </cell>
        </row>
        <row r="15">
          <cell r="A15">
            <v>11</v>
          </cell>
          <cell r="C15" t="str">
            <v>Other Cash/Obligation 5</v>
          </cell>
          <cell r="D15">
            <v>0</v>
          </cell>
        </row>
        <row r="16">
          <cell r="A16">
            <v>12</v>
          </cell>
          <cell r="C16" t="str">
            <v>Total Cash and Obligation</v>
          </cell>
          <cell r="D16">
            <v>-9479521.0059999991</v>
          </cell>
        </row>
        <row r="17">
          <cell r="A17">
            <v>13</v>
          </cell>
          <cell r="C17" t="str">
            <v>Account Receivables</v>
          </cell>
          <cell r="D17">
            <v>14198802</v>
          </cell>
        </row>
        <row r="18">
          <cell r="A18">
            <v>14</v>
          </cell>
          <cell r="C18" t="str">
            <v>Product Inventory</v>
          </cell>
          <cell r="D18">
            <v>11661945</v>
          </cell>
        </row>
        <row r="19">
          <cell r="A19">
            <v>15</v>
          </cell>
          <cell r="C19" t="str">
            <v>Office Inventory</v>
          </cell>
          <cell r="D19">
            <v>0</v>
          </cell>
        </row>
        <row r="20">
          <cell r="A20">
            <v>13</v>
          </cell>
          <cell r="C20" t="str">
            <v>Other Current Assets</v>
          </cell>
          <cell r="D20">
            <v>554371</v>
          </cell>
        </row>
        <row r="21">
          <cell r="A21">
            <v>17</v>
          </cell>
          <cell r="C21" t="str">
            <v>PREPAID - Rent</v>
          </cell>
          <cell r="D21">
            <v>0</v>
          </cell>
        </row>
        <row r="22">
          <cell r="A22">
            <v>18</v>
          </cell>
          <cell r="C22" t="str">
            <v>Other 1</v>
          </cell>
          <cell r="D22">
            <v>0</v>
          </cell>
        </row>
        <row r="23">
          <cell r="A23">
            <v>19</v>
          </cell>
          <cell r="C23" t="str">
            <v>Other 2</v>
          </cell>
          <cell r="D23">
            <v>0</v>
          </cell>
        </row>
        <row r="24">
          <cell r="A24">
            <v>20</v>
          </cell>
          <cell r="C24" t="str">
            <v>Other 3</v>
          </cell>
          <cell r="D24">
            <v>0</v>
          </cell>
        </row>
        <row r="25">
          <cell r="A25">
            <v>21</v>
          </cell>
          <cell r="C25" t="str">
            <v>Other 4</v>
          </cell>
          <cell r="D25">
            <v>0</v>
          </cell>
        </row>
        <row r="26">
          <cell r="A26">
            <v>22</v>
          </cell>
          <cell r="C26" t="str">
            <v>Other 5</v>
          </cell>
          <cell r="D26">
            <v>0</v>
          </cell>
        </row>
        <row r="27">
          <cell r="A27">
            <v>23</v>
          </cell>
          <cell r="C27" t="str">
            <v>Total Non Cash</v>
          </cell>
          <cell r="D27">
            <v>26415118</v>
          </cell>
        </row>
        <row r="28">
          <cell r="A28">
            <v>24</v>
          </cell>
          <cell r="C28" t="str">
            <v>Total Current Assets</v>
          </cell>
          <cell r="D28">
            <v>16935596.994000003</v>
          </cell>
        </row>
        <row r="29">
          <cell r="A29">
            <v>25</v>
          </cell>
          <cell r="C29"/>
          <cell r="D29"/>
        </row>
        <row r="30">
          <cell r="A30">
            <v>26</v>
          </cell>
          <cell r="C30" t="str">
            <v>Fixed Assets</v>
          </cell>
          <cell r="D30"/>
        </row>
        <row r="31">
          <cell r="A31">
            <v>27</v>
          </cell>
          <cell r="C31" t="str">
            <v>PPE - Computer Equipment</v>
          </cell>
          <cell r="D31">
            <v>0</v>
          </cell>
        </row>
        <row r="32">
          <cell r="A32">
            <v>28</v>
          </cell>
          <cell r="C32" t="str">
            <v>ACCUM DEPR - Machinery and Equipment</v>
          </cell>
          <cell r="D32">
            <v>0</v>
          </cell>
        </row>
        <row r="33">
          <cell r="A33">
            <v>29</v>
          </cell>
          <cell r="C33" t="str">
            <v>PPE - Vehicles</v>
          </cell>
          <cell r="D33">
            <v>0</v>
          </cell>
        </row>
        <row r="34">
          <cell r="A34">
            <v>30</v>
          </cell>
          <cell r="C34" t="str">
            <v>ACCUM DEPR - Vehicles</v>
          </cell>
          <cell r="D34">
            <v>0</v>
          </cell>
        </row>
        <row r="35">
          <cell r="A35">
            <v>31</v>
          </cell>
          <cell r="C35" t="str">
            <v xml:space="preserve">PPE </v>
          </cell>
          <cell r="D35">
            <v>35971848.129999995</v>
          </cell>
        </row>
        <row r="36">
          <cell r="A36">
            <v>32</v>
          </cell>
          <cell r="C36" t="str">
            <v>ACCUM DEPR</v>
          </cell>
          <cell r="D36">
            <v>-18188979.017999995</v>
          </cell>
        </row>
        <row r="37">
          <cell r="A37">
            <v>33</v>
          </cell>
          <cell r="C37" t="str">
            <v xml:space="preserve">Financial Assets </v>
          </cell>
          <cell r="D37">
            <v>2390731</v>
          </cell>
        </row>
        <row r="38">
          <cell r="A38">
            <v>34</v>
          </cell>
          <cell r="C38" t="str">
            <v>ACCUM DEPR</v>
          </cell>
          <cell r="D38">
            <v>-29257.384999999998</v>
          </cell>
        </row>
        <row r="39">
          <cell r="A39">
            <v>35</v>
          </cell>
          <cell r="C39" t="str">
            <v>Other 5</v>
          </cell>
          <cell r="D39">
            <v>0</v>
          </cell>
        </row>
        <row r="40">
          <cell r="A40">
            <v>36</v>
          </cell>
          <cell r="C40" t="str">
            <v>Other 6</v>
          </cell>
          <cell r="D40">
            <v>0</v>
          </cell>
        </row>
        <row r="41">
          <cell r="A41">
            <v>37</v>
          </cell>
          <cell r="C41" t="str">
            <v>Total Fixed Assets</v>
          </cell>
          <cell r="D41">
            <v>20144342.726999998</v>
          </cell>
        </row>
        <row r="42">
          <cell r="A42">
            <v>38</v>
          </cell>
          <cell r="C42"/>
          <cell r="D42"/>
        </row>
        <row r="43">
          <cell r="A43">
            <v>39</v>
          </cell>
          <cell r="C43" t="str">
            <v>TOTAL ASSETS</v>
          </cell>
          <cell r="D43">
            <v>37079939.721000001</v>
          </cell>
        </row>
        <row r="44">
          <cell r="A44">
            <v>40</v>
          </cell>
          <cell r="C44"/>
          <cell r="D44"/>
        </row>
        <row r="45">
          <cell r="A45">
            <v>41</v>
          </cell>
          <cell r="C45" t="str">
            <v>LIABILITIES &amp; OWNER'S EQUITY</v>
          </cell>
          <cell r="D45" t="str">
            <v/>
          </cell>
        </row>
        <row r="46">
          <cell r="A46">
            <v>42</v>
          </cell>
          <cell r="B46"/>
          <cell r="C46"/>
          <cell r="D46"/>
        </row>
        <row r="47">
          <cell r="A47">
            <v>43</v>
          </cell>
          <cell r="B47"/>
          <cell r="C47" t="str">
            <v>Current Liabilities</v>
          </cell>
          <cell r="D47" t="str">
            <v/>
          </cell>
        </row>
        <row r="48">
          <cell r="A48">
            <v>44</v>
          </cell>
          <cell r="B48"/>
          <cell r="C48" t="str">
            <v>A/P - Trade</v>
          </cell>
          <cell r="D48">
            <v>0</v>
          </cell>
        </row>
        <row r="49">
          <cell r="A49">
            <v>45</v>
          </cell>
          <cell r="B49"/>
          <cell r="C49" t="str">
            <v>Unearned Revenue</v>
          </cell>
          <cell r="D49">
            <v>0</v>
          </cell>
        </row>
        <row r="50">
          <cell r="A50">
            <v>46</v>
          </cell>
          <cell r="B50"/>
          <cell r="C50" t="str">
            <v>VAT - Input</v>
          </cell>
          <cell r="D50">
            <v>0</v>
          </cell>
        </row>
        <row r="51">
          <cell r="A51">
            <v>47</v>
          </cell>
          <cell r="B51"/>
          <cell r="C51" t="str">
            <v>VAT - Output</v>
          </cell>
          <cell r="D51">
            <v>0</v>
          </cell>
        </row>
        <row r="52">
          <cell r="A52">
            <v>48</v>
          </cell>
          <cell r="B52"/>
          <cell r="C52" t="str">
            <v xml:space="preserve">Account payable </v>
          </cell>
          <cell r="D52">
            <v>4051546.9730000002</v>
          </cell>
        </row>
        <row r="53">
          <cell r="A53">
            <v>49</v>
          </cell>
          <cell r="B53"/>
          <cell r="C53" t="str">
            <v xml:space="preserve">Other Current Liabilities </v>
          </cell>
          <cell r="D53">
            <v>1701461.1549999998</v>
          </cell>
        </row>
        <row r="54">
          <cell r="A54">
            <v>50</v>
          </cell>
          <cell r="B54"/>
          <cell r="C54" t="str">
            <v>Other 3</v>
          </cell>
          <cell r="D54">
            <v>0</v>
          </cell>
        </row>
        <row r="55">
          <cell r="A55">
            <v>51</v>
          </cell>
          <cell r="B55"/>
          <cell r="C55" t="str">
            <v>Other 4</v>
          </cell>
          <cell r="D55">
            <v>0</v>
          </cell>
        </row>
        <row r="56">
          <cell r="A56">
            <v>52</v>
          </cell>
          <cell r="B56"/>
          <cell r="C56" t="str">
            <v>Other 5</v>
          </cell>
          <cell r="D56">
            <v>0</v>
          </cell>
        </row>
        <row r="57">
          <cell r="A57">
            <v>53</v>
          </cell>
          <cell r="B57"/>
          <cell r="C57" t="str">
            <v>Other 6</v>
          </cell>
          <cell r="D57">
            <v>0</v>
          </cell>
        </row>
        <row r="58">
          <cell r="A58">
            <v>54</v>
          </cell>
          <cell r="B58"/>
          <cell r="C58" t="str">
            <v>Total Current Liabilities</v>
          </cell>
          <cell r="D58">
            <v>5753008.1280000005</v>
          </cell>
        </row>
        <row r="59">
          <cell r="A59">
            <v>55</v>
          </cell>
          <cell r="B59"/>
          <cell r="C59"/>
          <cell r="D59"/>
        </row>
        <row r="60">
          <cell r="A60">
            <v>56</v>
          </cell>
          <cell r="B60"/>
          <cell r="C60" t="str">
            <v>Long Term Liabilities</v>
          </cell>
          <cell r="D60" t="str">
            <v/>
          </cell>
        </row>
        <row r="61">
          <cell r="A61">
            <v>57</v>
          </cell>
          <cell r="B61"/>
          <cell r="C61" t="str">
            <v>Financial Company Long Term Debts</v>
          </cell>
          <cell r="D61">
            <v>1958333.331</v>
          </cell>
        </row>
        <row r="62">
          <cell r="A62">
            <v>58</v>
          </cell>
          <cell r="B62"/>
          <cell r="C62" t="str">
            <v xml:space="preserve">Provisions for Liabilities and Charges </v>
          </cell>
          <cell r="D62">
            <v>18033.155999999999</v>
          </cell>
        </row>
        <row r="63">
          <cell r="A63">
            <v>59</v>
          </cell>
          <cell r="B63"/>
          <cell r="C63" t="str">
            <v>Other 2</v>
          </cell>
          <cell r="D63">
            <v>0</v>
          </cell>
        </row>
        <row r="64">
          <cell r="A64">
            <v>60</v>
          </cell>
          <cell r="B64"/>
          <cell r="C64" t="str">
            <v>Other 3</v>
          </cell>
          <cell r="D64">
            <v>0</v>
          </cell>
        </row>
        <row r="65">
          <cell r="A65">
            <v>61</v>
          </cell>
          <cell r="B65"/>
          <cell r="C65" t="str">
            <v>Other 4</v>
          </cell>
          <cell r="D65">
            <v>0</v>
          </cell>
        </row>
        <row r="66">
          <cell r="A66">
            <v>62</v>
          </cell>
          <cell r="B66"/>
          <cell r="C66" t="str">
            <v>Other 5</v>
          </cell>
          <cell r="D66">
            <v>0</v>
          </cell>
        </row>
        <row r="67">
          <cell r="A67">
            <v>63</v>
          </cell>
          <cell r="B67"/>
          <cell r="C67" t="str">
            <v>Total Long Term Liabilities</v>
          </cell>
          <cell r="D67">
            <v>1976366.487</v>
          </cell>
        </row>
        <row r="68">
          <cell r="A68">
            <v>64</v>
          </cell>
          <cell r="B68"/>
          <cell r="C68" t="str">
            <v>Total Liabilities</v>
          </cell>
          <cell r="D68">
            <v>7729374.6150000002</v>
          </cell>
        </row>
        <row r="69">
          <cell r="A69">
            <v>65</v>
          </cell>
          <cell r="B69"/>
          <cell r="C69"/>
          <cell r="D69" t="str">
            <v/>
          </cell>
        </row>
        <row r="70">
          <cell r="A70">
            <v>66</v>
          </cell>
          <cell r="B70"/>
          <cell r="C70" t="str">
            <v>Owner's Equity</v>
          </cell>
          <cell r="D70" t="str">
            <v/>
          </cell>
        </row>
        <row r="71">
          <cell r="A71">
            <v>67</v>
          </cell>
          <cell r="B71"/>
          <cell r="C71" t="str">
            <v>Owner's Capital 1</v>
          </cell>
          <cell r="D71">
            <v>12000000</v>
          </cell>
        </row>
        <row r="72">
          <cell r="A72">
            <v>68</v>
          </cell>
          <cell r="B72"/>
          <cell r="C72" t="str">
            <v>Owner's Capital 2</v>
          </cell>
          <cell r="D72">
            <v>0</v>
          </cell>
        </row>
        <row r="73">
          <cell r="A73">
            <v>69</v>
          </cell>
          <cell r="B73"/>
          <cell r="C73" t="str">
            <v>Owner's Capital 3</v>
          </cell>
          <cell r="D73">
            <v>0</v>
          </cell>
        </row>
        <row r="74">
          <cell r="A74">
            <v>70</v>
          </cell>
          <cell r="B74"/>
          <cell r="C74" t="str">
            <v>Owner's Capital 4</v>
          </cell>
          <cell r="D74">
            <v>0</v>
          </cell>
        </row>
        <row r="75">
          <cell r="A75">
            <v>71</v>
          </cell>
          <cell r="B75"/>
          <cell r="C75" t="str">
            <v>Owner's Capital 5</v>
          </cell>
          <cell r="D75">
            <v>0</v>
          </cell>
        </row>
        <row r="76">
          <cell r="A76">
            <v>72</v>
          </cell>
          <cell r="B76"/>
          <cell r="C76" t="str">
            <v>Total Owner's Capital</v>
          </cell>
          <cell r="D76">
            <v>12000000</v>
          </cell>
        </row>
        <row r="77">
          <cell r="A77">
            <v>73</v>
          </cell>
          <cell r="B77"/>
          <cell r="C77" t="str">
            <v>Retained Earnings</v>
          </cell>
          <cell r="D77">
            <v>13969009.910999998</v>
          </cell>
        </row>
        <row r="78">
          <cell r="A78">
            <v>74</v>
          </cell>
          <cell r="B78"/>
          <cell r="C78" t="str">
            <v>Current Earnings</v>
          </cell>
          <cell r="D78">
            <v>3863705.6699999995</v>
          </cell>
        </row>
        <row r="79">
          <cell r="A79">
            <v>75</v>
          </cell>
          <cell r="B79"/>
          <cell r="C79" t="str">
            <v>Investment AID</v>
          </cell>
          <cell r="D79">
            <v>1340039.923</v>
          </cell>
        </row>
        <row r="80">
          <cell r="A80">
            <v>76</v>
          </cell>
          <cell r="B80"/>
          <cell r="C80" t="str">
            <v>Legal Reserves</v>
          </cell>
          <cell r="D80">
            <v>1200000</v>
          </cell>
        </row>
        <row r="81">
          <cell r="A81">
            <v>77</v>
          </cell>
          <cell r="B81"/>
          <cell r="C81" t="str">
            <v xml:space="preserve">Accounting changes </v>
          </cell>
          <cell r="D81">
            <v>-3022190.1949999998</v>
          </cell>
        </row>
        <row r="82">
          <cell r="A82">
            <v>78</v>
          </cell>
          <cell r="B82"/>
          <cell r="C82" t="str">
            <v>Other 2</v>
          </cell>
          <cell r="D82">
            <v>0</v>
          </cell>
        </row>
        <row r="83">
          <cell r="A83">
            <v>79</v>
          </cell>
          <cell r="B83"/>
          <cell r="C83" t="str">
            <v>Other 3</v>
          </cell>
          <cell r="D83">
            <v>0</v>
          </cell>
        </row>
        <row r="84">
          <cell r="A84">
            <v>80</v>
          </cell>
          <cell r="B84"/>
          <cell r="C84" t="str">
            <v>Other 4</v>
          </cell>
          <cell r="D84">
            <v>0</v>
          </cell>
        </row>
        <row r="85">
          <cell r="A85">
            <v>81</v>
          </cell>
          <cell r="B85"/>
          <cell r="C85" t="str">
            <v>Other 5</v>
          </cell>
          <cell r="D85">
            <v>0</v>
          </cell>
        </row>
        <row r="86">
          <cell r="A86">
            <v>82</v>
          </cell>
          <cell r="B86"/>
          <cell r="C86" t="str">
            <v>Other 6</v>
          </cell>
          <cell r="D86">
            <v>0</v>
          </cell>
        </row>
        <row r="87">
          <cell r="A87">
            <v>83</v>
          </cell>
          <cell r="B87"/>
          <cell r="C87" t="str">
            <v>Total Other Equity</v>
          </cell>
          <cell r="D87">
            <v>17350565.308999997</v>
          </cell>
        </row>
        <row r="88">
          <cell r="A88">
            <v>84</v>
          </cell>
          <cell r="B88"/>
          <cell r="C88" t="str">
            <v>Total Owner's Equity</v>
          </cell>
          <cell r="D88">
            <v>29350565.308999997</v>
          </cell>
        </row>
        <row r="89">
          <cell r="A89">
            <v>85</v>
          </cell>
          <cell r="B89"/>
          <cell r="C89"/>
          <cell r="D89"/>
        </row>
        <row r="90">
          <cell r="A90">
            <v>86</v>
          </cell>
          <cell r="B90"/>
          <cell r="C90" t="str">
            <v xml:space="preserve">    TOTAL LIABILITIES &amp; OWNER EQUITIES</v>
          </cell>
          <cell r="D90">
            <v>37079939.923999995</v>
          </cell>
        </row>
        <row r="91">
          <cell r="A91">
            <v>87</v>
          </cell>
          <cell r="B91"/>
          <cell r="C91"/>
          <cell r="D91"/>
        </row>
        <row r="92">
          <cell r="A92">
            <v>88</v>
          </cell>
          <cell r="B92"/>
          <cell r="C92"/>
          <cell r="D92">
            <v>0.20299999415874481</v>
          </cell>
        </row>
        <row r="93">
          <cell r="A93">
            <v>89</v>
          </cell>
          <cell r="B93"/>
          <cell r="C93"/>
          <cell r="D93"/>
        </row>
        <row r="94">
          <cell r="A94">
            <v>90</v>
          </cell>
          <cell r="B94"/>
          <cell r="C94"/>
          <cell r="D94"/>
        </row>
        <row r="95">
          <cell r="A95">
            <v>91</v>
          </cell>
          <cell r="B95"/>
          <cell r="C95"/>
          <cell r="D95"/>
        </row>
        <row r="96">
          <cell r="A96">
            <v>92</v>
          </cell>
          <cell r="B96"/>
          <cell r="C96"/>
          <cell r="D96"/>
        </row>
        <row r="97">
          <cell r="A97">
            <v>93</v>
          </cell>
          <cell r="B97"/>
          <cell r="C97"/>
          <cell r="D97"/>
        </row>
        <row r="98">
          <cell r="A98">
            <v>94</v>
          </cell>
          <cell r="B98"/>
          <cell r="C98"/>
          <cell r="D98"/>
        </row>
        <row r="99">
          <cell r="A99">
            <v>95</v>
          </cell>
          <cell r="B99"/>
          <cell r="C99"/>
          <cell r="D99"/>
        </row>
        <row r="100">
          <cell r="A100">
            <v>96</v>
          </cell>
          <cell r="B100"/>
          <cell r="C100"/>
          <cell r="D100"/>
        </row>
        <row r="101">
          <cell r="A101">
            <v>97</v>
          </cell>
          <cell r="B101"/>
          <cell r="C101"/>
          <cell r="D101"/>
        </row>
        <row r="102">
          <cell r="A102">
            <v>98</v>
          </cell>
          <cell r="B102"/>
          <cell r="C102"/>
          <cell r="D102"/>
        </row>
        <row r="103">
          <cell r="A103">
            <v>99</v>
          </cell>
          <cell r="B103"/>
          <cell r="C103"/>
          <cell r="D103"/>
        </row>
        <row r="104">
          <cell r="A104">
            <v>100</v>
          </cell>
          <cell r="B104"/>
          <cell r="C104"/>
          <cell r="D104"/>
        </row>
      </sheetData>
      <sheetData sheetId="6">
        <row r="6">
          <cell r="B6">
            <v>1</v>
          </cell>
          <cell r="C6"/>
          <cell r="D6" t="str">
            <v>REVENUE</v>
          </cell>
          <cell r="E6"/>
        </row>
        <row r="7">
          <cell r="B7">
            <v>2</v>
          </cell>
          <cell r="C7"/>
          <cell r="D7" t="str">
            <v>REVENUE - All Products</v>
          </cell>
          <cell r="E7">
            <v>5015320.7639999995</v>
          </cell>
        </row>
        <row r="8">
          <cell r="B8">
            <v>3</v>
          </cell>
          <cell r="C8"/>
          <cell r="D8" t="str">
            <v>Sales Discounts - All Products</v>
          </cell>
          <cell r="E8">
            <v>0</v>
          </cell>
        </row>
        <row r="9">
          <cell r="B9">
            <v>4</v>
          </cell>
          <cell r="C9"/>
          <cell r="D9" t="str">
            <v>Sales Returns and Allowances - All Products</v>
          </cell>
          <cell r="E9">
            <v>0</v>
          </cell>
        </row>
        <row r="10">
          <cell r="B10">
            <v>5</v>
          </cell>
          <cell r="C10"/>
          <cell r="D10" t="str">
            <v>Other 1</v>
          </cell>
          <cell r="E10">
            <v>0</v>
          </cell>
        </row>
        <row r="11">
          <cell r="B11">
            <v>6</v>
          </cell>
          <cell r="C11"/>
          <cell r="D11" t="str">
            <v>Other 2</v>
          </cell>
          <cell r="E11">
            <v>0</v>
          </cell>
        </row>
        <row r="12">
          <cell r="B12">
            <v>7</v>
          </cell>
          <cell r="C12"/>
          <cell r="D12" t="str">
            <v>Other 3</v>
          </cell>
          <cell r="E12">
            <v>0</v>
          </cell>
        </row>
        <row r="13">
          <cell r="B13">
            <v>8</v>
          </cell>
          <cell r="C13"/>
          <cell r="D13" t="str">
            <v>Other 4</v>
          </cell>
          <cell r="E13">
            <v>0</v>
          </cell>
        </row>
        <row r="14">
          <cell r="B14">
            <v>9</v>
          </cell>
          <cell r="C14"/>
          <cell r="D14" t="str">
            <v>Other 5</v>
          </cell>
          <cell r="E14">
            <v>0</v>
          </cell>
        </row>
        <row r="15">
          <cell r="B15">
            <v>10</v>
          </cell>
          <cell r="C15"/>
          <cell r="D15" t="str">
            <v>Other 6</v>
          </cell>
          <cell r="E15">
            <v>0</v>
          </cell>
        </row>
        <row r="16">
          <cell r="B16">
            <v>11</v>
          </cell>
          <cell r="C16"/>
          <cell r="D16" t="str">
            <v>Other 7</v>
          </cell>
          <cell r="E16">
            <v>0</v>
          </cell>
        </row>
        <row r="17">
          <cell r="B17">
            <v>12</v>
          </cell>
          <cell r="C17"/>
          <cell r="D17" t="str">
            <v>Other 8</v>
          </cell>
          <cell r="E17">
            <v>0</v>
          </cell>
        </row>
        <row r="18">
          <cell r="B18">
            <v>13</v>
          </cell>
          <cell r="C18"/>
          <cell r="D18" t="str">
            <v>Other 9</v>
          </cell>
          <cell r="E18">
            <v>0</v>
          </cell>
        </row>
        <row r="19">
          <cell r="B19">
            <v>14</v>
          </cell>
          <cell r="C19"/>
          <cell r="D19" t="str">
            <v>Other 10</v>
          </cell>
          <cell r="E19">
            <v>0</v>
          </cell>
        </row>
        <row r="20">
          <cell r="B20">
            <v>15</v>
          </cell>
          <cell r="C20"/>
          <cell r="D20" t="str">
            <v>Other 11</v>
          </cell>
          <cell r="E20">
            <v>0</v>
          </cell>
        </row>
        <row r="21">
          <cell r="B21">
            <v>16</v>
          </cell>
          <cell r="C21"/>
          <cell r="D21" t="str">
            <v>Other 12</v>
          </cell>
          <cell r="E21">
            <v>0</v>
          </cell>
        </row>
        <row r="22">
          <cell r="B22">
            <v>17</v>
          </cell>
          <cell r="C22"/>
          <cell r="D22" t="str">
            <v>Other 13</v>
          </cell>
          <cell r="E22">
            <v>0</v>
          </cell>
        </row>
        <row r="23">
          <cell r="B23">
            <v>18</v>
          </cell>
          <cell r="C23"/>
          <cell r="D23" t="str">
            <v>Other 14</v>
          </cell>
          <cell r="E23">
            <v>0</v>
          </cell>
        </row>
        <row r="24">
          <cell r="B24">
            <v>19</v>
          </cell>
          <cell r="C24"/>
          <cell r="D24" t="str">
            <v>Other 15</v>
          </cell>
          <cell r="E24">
            <v>0</v>
          </cell>
        </row>
        <row r="25">
          <cell r="B25">
            <v>20</v>
          </cell>
          <cell r="C25"/>
          <cell r="D25" t="str">
            <v xml:space="preserve">    Total Revenue</v>
          </cell>
          <cell r="E25">
            <v>5015320.7639999995</v>
          </cell>
        </row>
        <row r="26">
          <cell r="B26">
            <v>21</v>
          </cell>
          <cell r="C26"/>
          <cell r="D26"/>
          <cell r="E26"/>
        </row>
        <row r="27">
          <cell r="B27">
            <v>22</v>
          </cell>
          <cell r="C27"/>
          <cell r="D27" t="str">
            <v>COST OF SALES</v>
          </cell>
          <cell r="E27" t="str">
            <v/>
          </cell>
        </row>
        <row r="28">
          <cell r="B28">
            <v>23</v>
          </cell>
          <cell r="C28"/>
          <cell r="D28" t="str">
            <v>Beginning Inventory</v>
          </cell>
          <cell r="E28"/>
        </row>
        <row r="29">
          <cell r="B29">
            <v>24</v>
          </cell>
          <cell r="C29"/>
          <cell r="D29" t="str">
            <v>Purchase - All Products C°</v>
          </cell>
          <cell r="E29">
            <v>4000019.3769317912</v>
          </cell>
        </row>
        <row r="30">
          <cell r="B30">
            <v>25</v>
          </cell>
          <cell r="C30"/>
          <cell r="D30" t="str">
            <v>Purchase Discounts - All Products</v>
          </cell>
          <cell r="E30"/>
        </row>
        <row r="31">
          <cell r="B31">
            <v>26</v>
          </cell>
          <cell r="C31"/>
          <cell r="D31" t="str">
            <v>Purchase Returns and Allowances - All Products</v>
          </cell>
          <cell r="E31"/>
        </row>
        <row r="32">
          <cell r="B32">
            <v>27</v>
          </cell>
          <cell r="C32"/>
          <cell r="D32" t="str">
            <v>Ending Inventory</v>
          </cell>
          <cell r="E32"/>
        </row>
        <row r="33">
          <cell r="B33">
            <v>28</v>
          </cell>
          <cell r="C33"/>
          <cell r="D33" t="str">
            <v>Variation Inventory (PF&amp;SF)</v>
          </cell>
          <cell r="E33">
            <v>-686333.39110286627</v>
          </cell>
        </row>
        <row r="34">
          <cell r="B34">
            <v>29</v>
          </cell>
          <cell r="C34"/>
          <cell r="D34" t="str">
            <v>Other 2</v>
          </cell>
          <cell r="E34">
            <v>0</v>
          </cell>
        </row>
        <row r="35">
          <cell r="B35">
            <v>30</v>
          </cell>
          <cell r="C35"/>
          <cell r="D35" t="str">
            <v>Other 3</v>
          </cell>
          <cell r="E35">
            <v>0</v>
          </cell>
        </row>
        <row r="36">
          <cell r="B36">
            <v>31</v>
          </cell>
          <cell r="C36"/>
          <cell r="D36" t="str">
            <v>Other 4</v>
          </cell>
          <cell r="E36">
            <v>0</v>
          </cell>
        </row>
        <row r="37">
          <cell r="B37">
            <v>32</v>
          </cell>
          <cell r="C37"/>
          <cell r="D37" t="str">
            <v>Other 5</v>
          </cell>
          <cell r="E37">
            <v>0</v>
          </cell>
        </row>
        <row r="38">
          <cell r="B38">
            <v>33</v>
          </cell>
          <cell r="C38"/>
          <cell r="D38" t="str">
            <v>Other 6</v>
          </cell>
          <cell r="E38">
            <v>0</v>
          </cell>
        </row>
        <row r="39">
          <cell r="B39">
            <v>34</v>
          </cell>
          <cell r="C39"/>
          <cell r="D39" t="str">
            <v>Other 7</v>
          </cell>
          <cell r="E39">
            <v>0</v>
          </cell>
        </row>
        <row r="40">
          <cell r="B40">
            <v>35</v>
          </cell>
          <cell r="C40"/>
          <cell r="D40" t="str">
            <v>Other 8</v>
          </cell>
          <cell r="E40">
            <v>0</v>
          </cell>
        </row>
        <row r="41">
          <cell r="B41">
            <v>36</v>
          </cell>
          <cell r="C41"/>
          <cell r="D41" t="str">
            <v>Other 9</v>
          </cell>
          <cell r="E41">
            <v>0</v>
          </cell>
        </row>
        <row r="42">
          <cell r="B42">
            <v>37</v>
          </cell>
          <cell r="C42"/>
          <cell r="D42" t="str">
            <v>Other 10</v>
          </cell>
          <cell r="E42">
            <v>0</v>
          </cell>
        </row>
        <row r="43">
          <cell r="B43">
            <v>38</v>
          </cell>
          <cell r="C43"/>
          <cell r="D43" t="str">
            <v xml:space="preserve">    Total CoGS</v>
          </cell>
          <cell r="E43">
            <v>3313685.9858289249</v>
          </cell>
        </row>
        <row r="44">
          <cell r="B44">
            <v>39</v>
          </cell>
          <cell r="C44"/>
          <cell r="D44" t="str">
            <v xml:space="preserve">    Gross Profit/Loss</v>
          </cell>
          <cell r="E44">
            <v>1701634.7781710746</v>
          </cell>
        </row>
        <row r="45">
          <cell r="B45">
            <v>40</v>
          </cell>
          <cell r="C45"/>
          <cell r="D45"/>
          <cell r="E45"/>
        </row>
        <row r="46">
          <cell r="B46">
            <v>41</v>
          </cell>
          <cell r="C46"/>
          <cell r="D46" t="str">
            <v>EXPENSES</v>
          </cell>
          <cell r="E46" t="str">
            <v/>
          </cell>
        </row>
        <row r="47">
          <cell r="B47">
            <v>42</v>
          </cell>
          <cell r="C47"/>
          <cell r="D47" t="str">
            <v>EXP - Salaries</v>
          </cell>
          <cell r="E47">
            <v>552038.01133333333</v>
          </cell>
        </row>
        <row r="48">
          <cell r="B48">
            <v>43</v>
          </cell>
          <cell r="C48"/>
          <cell r="D48" t="str">
            <v>EXP - Administration</v>
          </cell>
          <cell r="E48">
            <v>0</v>
          </cell>
        </row>
        <row r="49">
          <cell r="B49">
            <v>44</v>
          </cell>
          <cell r="C49"/>
          <cell r="D49" t="str">
            <v>EXP - Electricity, Water, Phone</v>
          </cell>
          <cell r="E49"/>
        </row>
        <row r="50">
          <cell r="B50">
            <v>45</v>
          </cell>
          <cell r="C50"/>
          <cell r="D50" t="str">
            <v>EXP - Rent</v>
          </cell>
          <cell r="E50"/>
        </row>
        <row r="51">
          <cell r="B51">
            <v>46</v>
          </cell>
          <cell r="C51"/>
          <cell r="D51" t="str">
            <v>EXP - Insurance</v>
          </cell>
          <cell r="E51"/>
        </row>
        <row r="52">
          <cell r="B52">
            <v>47</v>
          </cell>
          <cell r="C52"/>
          <cell r="D52" t="str">
            <v>EXP - Repair and Maintenance</v>
          </cell>
          <cell r="E52"/>
        </row>
        <row r="53">
          <cell r="B53">
            <v>48</v>
          </cell>
          <cell r="C53"/>
          <cell r="D53" t="str">
            <v>EXP - Office Supplies</v>
          </cell>
          <cell r="E53"/>
        </row>
        <row r="54">
          <cell r="B54">
            <v>49</v>
          </cell>
          <cell r="C54"/>
          <cell r="D54" t="str">
            <v>EXP - Depreciation Equipment</v>
          </cell>
          <cell r="E54"/>
        </row>
        <row r="55">
          <cell r="B55">
            <v>50</v>
          </cell>
          <cell r="C55"/>
          <cell r="D55" t="str">
            <v>EXP - Depreciation Vehicles</v>
          </cell>
          <cell r="E55"/>
        </row>
        <row r="56">
          <cell r="B56">
            <v>51</v>
          </cell>
          <cell r="C56"/>
          <cell r="D56" t="str">
            <v>EXP - Other</v>
          </cell>
          <cell r="E56">
            <v>417472.16702243156</v>
          </cell>
        </row>
        <row r="57">
          <cell r="B57">
            <v>52</v>
          </cell>
          <cell r="C57"/>
          <cell r="D57" t="str">
            <v>Total Deprciation&amp;Provisions</v>
          </cell>
          <cell r="E57">
            <v>348720.71600000001</v>
          </cell>
        </row>
        <row r="58">
          <cell r="B58">
            <v>53</v>
          </cell>
          <cell r="C58"/>
          <cell r="D58" t="str">
            <v>Other 2</v>
          </cell>
          <cell r="E58">
            <v>0</v>
          </cell>
        </row>
        <row r="59">
          <cell r="B59">
            <v>54</v>
          </cell>
          <cell r="C59"/>
          <cell r="D59" t="str">
            <v>Other 3</v>
          </cell>
          <cell r="E59">
            <v>0</v>
          </cell>
        </row>
        <row r="60">
          <cell r="B60">
            <v>55</v>
          </cell>
          <cell r="C60"/>
          <cell r="D60" t="str">
            <v>Other 4</v>
          </cell>
          <cell r="E60">
            <v>0</v>
          </cell>
        </row>
        <row r="61">
          <cell r="B61">
            <v>56</v>
          </cell>
          <cell r="C61"/>
          <cell r="D61" t="str">
            <v>Other 5</v>
          </cell>
          <cell r="E61">
            <v>0</v>
          </cell>
        </row>
        <row r="62">
          <cell r="B62">
            <v>57</v>
          </cell>
          <cell r="C62"/>
          <cell r="D62" t="str">
            <v>Other 6</v>
          </cell>
          <cell r="E62">
            <v>0</v>
          </cell>
        </row>
        <row r="63">
          <cell r="B63">
            <v>58</v>
          </cell>
          <cell r="C63"/>
          <cell r="D63" t="str">
            <v>Other 7</v>
          </cell>
          <cell r="E63">
            <v>0</v>
          </cell>
        </row>
        <row r="64">
          <cell r="B64">
            <v>59</v>
          </cell>
          <cell r="C64"/>
          <cell r="D64" t="str">
            <v>Other 8</v>
          </cell>
          <cell r="E64">
            <v>0</v>
          </cell>
        </row>
        <row r="65">
          <cell r="B65">
            <v>60</v>
          </cell>
          <cell r="C65"/>
          <cell r="D65" t="str">
            <v>Other 9</v>
          </cell>
          <cell r="E65">
            <v>0</v>
          </cell>
        </row>
        <row r="66">
          <cell r="B66">
            <v>61</v>
          </cell>
          <cell r="C66"/>
          <cell r="D66" t="str">
            <v>Other 10</v>
          </cell>
          <cell r="E66">
            <v>0</v>
          </cell>
        </row>
        <row r="67">
          <cell r="B67">
            <v>62</v>
          </cell>
          <cell r="C67"/>
          <cell r="D67" t="str">
            <v>Other 11</v>
          </cell>
          <cell r="E67">
            <v>0</v>
          </cell>
        </row>
        <row r="68">
          <cell r="B68">
            <v>63</v>
          </cell>
          <cell r="C68"/>
          <cell r="D68" t="str">
            <v xml:space="preserve">    Total Expenses</v>
          </cell>
          <cell r="E68">
            <v>1318230.8943557648</v>
          </cell>
        </row>
        <row r="69">
          <cell r="B69">
            <v>64</v>
          </cell>
          <cell r="C69"/>
          <cell r="D69" t="str">
            <v xml:space="preserve">    Gross Profit/Loss</v>
          </cell>
          <cell r="E69">
            <v>383403.88381530973</v>
          </cell>
        </row>
        <row r="70">
          <cell r="B70">
            <v>65</v>
          </cell>
          <cell r="C70"/>
          <cell r="D70"/>
          <cell r="E70"/>
        </row>
        <row r="71">
          <cell r="B71">
            <v>66</v>
          </cell>
          <cell r="C71"/>
          <cell r="D71" t="str">
            <v>OTHER INCOME/EXPENSES</v>
          </cell>
          <cell r="E71" t="str">
            <v/>
          </cell>
        </row>
        <row r="72">
          <cell r="B72">
            <v>67</v>
          </cell>
          <cell r="C72"/>
          <cell r="D72" t="str">
            <v>Finance Charge Income</v>
          </cell>
          <cell r="E72">
            <v>183699.83324691356</v>
          </cell>
        </row>
        <row r="73">
          <cell r="B73">
            <v>68</v>
          </cell>
          <cell r="C73"/>
          <cell r="D73" t="str">
            <v>EXP - Bank Charges</v>
          </cell>
          <cell r="E73"/>
        </row>
        <row r="74">
          <cell r="B74">
            <v>69</v>
          </cell>
          <cell r="C74"/>
          <cell r="D74" t="str">
            <v>Exchange Rate charges</v>
          </cell>
          <cell r="E74">
            <v>3580.591167</v>
          </cell>
        </row>
        <row r="75">
          <cell r="B75">
            <v>70</v>
          </cell>
          <cell r="C75"/>
          <cell r="D75" t="str">
            <v>Investment Income</v>
          </cell>
          <cell r="E75">
            <v>0</v>
          </cell>
        </row>
        <row r="76">
          <cell r="B76">
            <v>71</v>
          </cell>
          <cell r="C76"/>
          <cell r="D76" t="str">
            <v>Other Income</v>
          </cell>
          <cell r="E76">
            <v>-720.4</v>
          </cell>
        </row>
        <row r="77">
          <cell r="B77">
            <v>72</v>
          </cell>
          <cell r="C77"/>
          <cell r="D77" t="str">
            <v xml:space="preserve">Other charges </v>
          </cell>
          <cell r="E77">
            <v>1E-3</v>
          </cell>
        </row>
        <row r="78">
          <cell r="B78">
            <v>73</v>
          </cell>
          <cell r="C78"/>
          <cell r="D78" t="str">
            <v xml:space="preserve">Tax Charges </v>
          </cell>
          <cell r="E78">
            <v>0</v>
          </cell>
        </row>
        <row r="79">
          <cell r="B79">
            <v>74</v>
          </cell>
          <cell r="C79"/>
          <cell r="D79" t="str">
            <v>Other 6</v>
          </cell>
          <cell r="E79">
            <v>0</v>
          </cell>
        </row>
        <row r="80">
          <cell r="B80">
            <v>75</v>
          </cell>
          <cell r="C80"/>
          <cell r="D80" t="str">
            <v>Other 7</v>
          </cell>
          <cell r="E80">
            <v>0</v>
          </cell>
        </row>
        <row r="81">
          <cell r="B81">
            <v>76</v>
          </cell>
          <cell r="C81"/>
          <cell r="D81" t="str">
            <v>Other 8</v>
          </cell>
          <cell r="E81">
            <v>0</v>
          </cell>
        </row>
        <row r="82">
          <cell r="B82">
            <v>77</v>
          </cell>
          <cell r="C82"/>
          <cell r="D82" t="str">
            <v>Other 9</v>
          </cell>
          <cell r="E82">
            <v>0</v>
          </cell>
        </row>
        <row r="83">
          <cell r="B83">
            <v>78</v>
          </cell>
          <cell r="C83"/>
          <cell r="D83" t="str">
            <v xml:space="preserve">    Total Other Income/Expenses</v>
          </cell>
          <cell r="E83">
            <v>186560.02541391356</v>
          </cell>
        </row>
        <row r="84">
          <cell r="B84">
            <v>79</v>
          </cell>
          <cell r="C84"/>
          <cell r="D84" t="str">
            <v xml:space="preserve">    Net Profit/Loss</v>
          </cell>
          <cell r="E84">
            <v>196843.85840139617</v>
          </cell>
        </row>
        <row r="85">
          <cell r="B85">
            <v>80</v>
          </cell>
          <cell r="C85"/>
          <cell r="D85"/>
          <cell r="E85"/>
        </row>
        <row r="86">
          <cell r="B86">
            <v>81</v>
          </cell>
          <cell r="C86"/>
          <cell r="D86"/>
          <cell r="E86"/>
        </row>
        <row r="87">
          <cell r="B87">
            <v>82</v>
          </cell>
          <cell r="C87"/>
          <cell r="D87"/>
          <cell r="E87"/>
        </row>
        <row r="88">
          <cell r="B88">
            <v>83</v>
          </cell>
          <cell r="C88"/>
          <cell r="D88"/>
          <cell r="E88"/>
        </row>
        <row r="89">
          <cell r="B89">
            <v>84</v>
          </cell>
          <cell r="C89"/>
          <cell r="D89"/>
          <cell r="E89"/>
        </row>
        <row r="90">
          <cell r="B90">
            <v>85</v>
          </cell>
          <cell r="C90"/>
          <cell r="D90"/>
          <cell r="E90"/>
        </row>
        <row r="91">
          <cell r="B91">
            <v>86</v>
          </cell>
          <cell r="C91"/>
          <cell r="D91"/>
          <cell r="E91"/>
        </row>
        <row r="92">
          <cell r="B92">
            <v>87</v>
          </cell>
          <cell r="C92"/>
          <cell r="D92"/>
          <cell r="E92"/>
        </row>
        <row r="93">
          <cell r="B93">
            <v>88</v>
          </cell>
          <cell r="C93"/>
          <cell r="D93"/>
          <cell r="E93"/>
        </row>
        <row r="94">
          <cell r="B94">
            <v>89</v>
          </cell>
          <cell r="C94"/>
          <cell r="D94"/>
          <cell r="E94"/>
        </row>
        <row r="95">
          <cell r="B95">
            <v>90</v>
          </cell>
          <cell r="C95"/>
          <cell r="D95"/>
          <cell r="E95"/>
        </row>
        <row r="96">
          <cell r="B96">
            <v>91</v>
          </cell>
          <cell r="C96"/>
          <cell r="D96"/>
          <cell r="E96"/>
        </row>
        <row r="97">
          <cell r="B97">
            <v>92</v>
          </cell>
          <cell r="C97"/>
          <cell r="D97"/>
          <cell r="E97"/>
        </row>
        <row r="98">
          <cell r="B98">
            <v>93</v>
          </cell>
          <cell r="C98"/>
          <cell r="D98"/>
          <cell r="E98"/>
        </row>
        <row r="99">
          <cell r="B99">
            <v>94</v>
          </cell>
          <cell r="C99"/>
          <cell r="D99"/>
          <cell r="E99"/>
        </row>
        <row r="100">
          <cell r="B100">
            <v>95</v>
          </cell>
          <cell r="C100"/>
          <cell r="D100"/>
          <cell r="E100"/>
        </row>
        <row r="101">
          <cell r="B101">
            <v>96</v>
          </cell>
          <cell r="C101"/>
          <cell r="D101"/>
          <cell r="E101"/>
        </row>
        <row r="102">
          <cell r="B102">
            <v>97</v>
          </cell>
          <cell r="C102"/>
          <cell r="D102"/>
          <cell r="E102"/>
        </row>
        <row r="103">
          <cell r="B103">
            <v>98</v>
          </cell>
          <cell r="C103"/>
          <cell r="D103"/>
          <cell r="E103"/>
        </row>
        <row r="104">
          <cell r="B104">
            <v>99</v>
          </cell>
          <cell r="C104"/>
          <cell r="D104"/>
          <cell r="E104"/>
        </row>
        <row r="105">
          <cell r="B105">
            <v>100</v>
          </cell>
          <cell r="C105"/>
          <cell r="D105"/>
          <cell r="E105"/>
        </row>
      </sheetData>
      <sheetData sheetId="7"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LANCEAUX"/>
    </sheetNames>
    <sheetDataSet>
      <sheetData sheetId="0"/>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LANCEAUX"/>
    </sheetNames>
    <sheetDataSet>
      <sheetData sheetId="0">
        <row r="2">
          <cell r="B2" t="str">
            <v>6464</v>
          </cell>
        </row>
      </sheetData>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LANCEAUX"/>
    </sheetNames>
    <sheetDataSet>
      <sheetData sheetId="0"/>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KUR"/>
      <sheetName val="KAPAK"/>
      <sheetName val="GENELDURUM(Yıllık)"/>
      <sheetName val="GENELDURUM (Aylık)"/>
      <sheetName val="TOPLAM SATISLAR(Yıllık)"/>
      <sheetName val="TOPLAM SATISLAR(Aylık)"/>
      <sheetName val="TR'YE SATISLAR(Yıllık)"/>
      <sheetName val="TR DISI SATISLAR(Yıllık)"/>
      <sheetName val="TR'YE SATISLAR(Aylık)"/>
      <sheetName val="TR DISI SATISLAR(Aylık)"/>
      <sheetName val="ÜRETİM(Yıllık)"/>
      <sheetName val="ÜRETİM(Aylık)"/>
      <sheetName val="GİDERLER(Yıllık)"/>
      <sheetName val="GİDERLER(Aylık)"/>
      <sheetName val="PERS.GİD.(Yıllık)"/>
      <sheetName val="PERS.GİD.(Aylık)"/>
      <sheetName val="İŞÇ.GİD(Yıllık)"/>
      <sheetName val="İŞÇ.GİD(Aylık)"/>
      <sheetName val="DIŞSAĞFAYD-YIL"/>
      <sheetName val="DISSAGFAYD-AYLIK"/>
      <sheetName val="CESITLIG-YIL"/>
      <sheetName val="CESITLI GID-AYLIK"/>
      <sheetName val="MALZ.GİD(Yıllık)"/>
      <sheetName val="MALZ.GİD(Aylık)"/>
      <sheetName val="KULLANIMLAR(Yıllık)"/>
      <sheetName val="KULLANIMLAR(Aylık)"/>
      <sheetName val="BİRİMMAL(Yıllık)"/>
      <sheetName val="BİRİMMAL(Aylık)"/>
      <sheetName val="STOKLAR(Yıllık)"/>
      <sheetName val="STOKLAR(Aylık)"/>
      <sheetName val="MAMULSTOK(BGN)"/>
      <sheetName val="MAMULSTOK(ADET)"/>
      <sheetName val="MAMULSTOK(TON)"/>
      <sheetName val="PERSONEL(Yıllık)"/>
      <sheetName val="PERSONEL YILLIK(2)"/>
      <sheetName val="PERSONEL(Aylık)"/>
      <sheetName val="YATIRIMLAR"/>
      <sheetName val="KARZARAR(Yıllık)"/>
      <sheetName val="KARZARAR(Aylık)"/>
      <sheetName val="GYG (Yıllık)"/>
      <sheetName val="GYG(Aylık)"/>
      <sheetName val="OLG.GEL.GID.(Yıllık)"/>
      <sheetName val="OLG.GEL.GID.(Aylık)"/>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YATIRIMLAR"/>
    </sheetNames>
    <sheetDataSet>
      <sheetData sheetId="0"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artscherm"/>
      <sheetName val="Navigatiescherm"/>
      <sheetName val="Voorwoord"/>
      <sheetName val="Lijst van afkortingen"/>
      <sheetName val="Inleiding"/>
      <sheetName val="Immateriële vaste activa"/>
      <sheetName val="Materiële vaste activa"/>
      <sheetName val="Vastgoedbeleggingen"/>
      <sheetName val="Financiële vaste activa"/>
      <sheetName val="Voorraden"/>
      <sheetName val="Vorderingen"/>
      <sheetName val="Effecten"/>
      <sheetName val="Liquide middelen"/>
      <sheetName val="Eigen vermogen"/>
      <sheetName val="Voorzieningen"/>
      <sheetName val="Schulden"/>
      <sheetName val="Winst-en-verliesrekening"/>
      <sheetName val="Personeelsbeloningen"/>
      <sheetName val="Belastingen"/>
      <sheetName val="Overheidssubsidies"/>
      <sheetName val="Financiële instrumenten"/>
      <sheetName val="Leasing"/>
      <sheetName val="Kasstroomoverzicht"/>
      <sheetName val="Algemene grondslagen"/>
      <sheetName val="Discontinuïteit"/>
      <sheetName val="Vreemde valuta"/>
      <sheetName val="Bijz.waardeverm.vaste activa"/>
      <sheetName val="Stelselwijzigingen"/>
      <sheetName val="Schattingswijzigingen"/>
      <sheetName val="Foutenherstel"/>
      <sheetName val="Overige informatie toelichting"/>
      <sheetName val="Vermeldingen kapitaalbelangen"/>
      <sheetName val="Niet in balans opgenomen verpl."/>
      <sheetName val="Niet in de balans opgen. activa"/>
      <sheetName val="Verbonden partijen"/>
      <sheetName val="Beëindiging bedrijfsact."/>
      <sheetName val="Overzicht toegevoegde waarde"/>
      <sheetName val="Concessiedienstverlening"/>
      <sheetName val="Winst per aandeel"/>
      <sheetName val="Gesegmenteerde informatie"/>
      <sheetName val="Fusies en overnames"/>
      <sheetName val="Geconsolideerde jaarrekening"/>
      <sheetName val="Jaarverslag"/>
      <sheetName val="Kerncijfers, kengetallen etc."/>
      <sheetName val="Overige gegevens"/>
      <sheetName val="Tussentijdse berichten"/>
      <sheetName val="(H) triggersheet"/>
      <sheetName val="(H) DATASHEET"/>
      <sheetName val="PrintSheet"/>
      <sheetName val="(H) Tickmarks"/>
      <sheetName val="Validatie"/>
      <sheetName val="HideSheetRange"/>
      <sheetName val="Generalfunctions"/>
      <sheetName val="MoveSheets"/>
      <sheetName val="TEST"/>
      <sheetName val="BepaalGrootte"/>
      <sheetName val="Printen"/>
      <sheetName val="Controles"/>
      <sheetName val="Start screen"/>
      <sheetName val="Navigation screen"/>
      <sheetName val="Preface"/>
      <sheetName val="List of abbreviations"/>
      <sheetName val="Introduction"/>
      <sheetName val="Intangible fixed assets"/>
      <sheetName val="Tangible fixed assets"/>
      <sheetName val="Investment property"/>
      <sheetName val="Financial fixed assets"/>
      <sheetName val="Inventories"/>
      <sheetName val="Receivables"/>
      <sheetName val="Securities"/>
      <sheetName val="Cash"/>
      <sheetName val="Shareholders' equity"/>
      <sheetName val="Provisions"/>
      <sheetName val="Liabilities"/>
      <sheetName val="Profit and loss account"/>
      <sheetName val="Employee benefits"/>
      <sheetName val="Income taxes"/>
      <sheetName val="Government grants"/>
      <sheetName val="Financial instruments"/>
      <sheetName val="Cash flow statement"/>
      <sheetName val="General principles"/>
      <sheetName val="Discontinuity"/>
      <sheetName val="Foreign currencies"/>
      <sheetName val="Impairment of fixed assets"/>
      <sheetName val="Changes in accounting policies"/>
      <sheetName val="Changes in estimate"/>
      <sheetName val="Correction of errors"/>
      <sheetName val="Additional info. in the notes"/>
      <sheetName val="Details of interests"/>
      <sheetName val="Contingent liabilities"/>
      <sheetName val="Contingent assets"/>
      <sheetName val="Related parties"/>
      <sheetName val="Discontinuance of operations"/>
      <sheetName val="Added-value statement"/>
      <sheetName val="Service concession arrangements"/>
      <sheetName val="Earnings per share"/>
      <sheetName val="Segment information"/>
      <sheetName val="Business combinations and acq."/>
      <sheetName val="Consolidation"/>
      <sheetName val="Directors' report"/>
      <sheetName val="Key figures, ratios etc."/>
      <sheetName val="Other information"/>
      <sheetName val="Interim report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ow r="15">
          <cell r="C15">
            <v>2</v>
          </cell>
        </row>
      </sheetData>
      <sheetData sheetId="47">
        <row r="5">
          <cell r="E5" t="str">
            <v>Small</v>
          </cell>
        </row>
        <row r="6">
          <cell r="E6" t="str">
            <v>Medium-sized</v>
          </cell>
        </row>
        <row r="7">
          <cell r="E7" t="str">
            <v>Large</v>
          </cell>
        </row>
        <row r="14">
          <cell r="C14" t="str">
            <v>General</v>
          </cell>
        </row>
        <row r="16">
          <cell r="A16" t="str">
            <v>Make your choice</v>
          </cell>
        </row>
        <row r="17">
          <cell r="A17" t="str">
            <v>General</v>
          </cell>
        </row>
        <row r="18">
          <cell r="A18" t="str">
            <v>Publication</v>
          </cell>
        </row>
        <row r="21">
          <cell r="A21" t="str">
            <v>Make your choice</v>
          </cell>
        </row>
        <row r="22">
          <cell r="A22" t="str">
            <v>Yes</v>
          </cell>
        </row>
        <row r="23">
          <cell r="A23" t="str">
            <v>No</v>
          </cell>
        </row>
        <row r="32">
          <cell r="A32" t="str">
            <v>Make your choice</v>
          </cell>
        </row>
        <row r="33">
          <cell r="A33" t="str">
            <v>Yes</v>
          </cell>
        </row>
        <row r="34">
          <cell r="A34" t="str">
            <v>No</v>
          </cell>
        </row>
        <row r="37">
          <cell r="A37" t="str">
            <v>Make your choice</v>
          </cell>
        </row>
        <row r="38">
          <cell r="A38" t="str">
            <v>Yes</v>
          </cell>
        </row>
        <row r="39">
          <cell r="A39" t="str">
            <v>No</v>
          </cell>
        </row>
        <row r="42">
          <cell r="A42" t="str">
            <v>Make your choice</v>
          </cell>
        </row>
        <row r="43">
          <cell r="A43" t="str">
            <v>Yes</v>
          </cell>
        </row>
        <row r="44">
          <cell r="A44" t="str">
            <v>No</v>
          </cell>
        </row>
        <row r="47">
          <cell r="A47" t="str">
            <v>Make your choice</v>
          </cell>
        </row>
        <row r="48">
          <cell r="A48" t="str">
            <v>Yes</v>
          </cell>
        </row>
        <row r="49">
          <cell r="A49" t="str">
            <v>No</v>
          </cell>
        </row>
        <row r="52">
          <cell r="A52" t="str">
            <v>Make your choice</v>
          </cell>
        </row>
        <row r="53">
          <cell r="A53" t="str">
            <v>Yes</v>
          </cell>
          <cell r="J53" t="str">
            <v>Small</v>
          </cell>
        </row>
        <row r="54">
          <cell r="A54" t="str">
            <v>No</v>
          </cell>
        </row>
        <row r="57">
          <cell r="A57" t="str">
            <v>Make your choice</v>
          </cell>
        </row>
        <row r="58">
          <cell r="A58" t="str">
            <v>Yes</v>
          </cell>
        </row>
        <row r="59">
          <cell r="A59" t="str">
            <v>No</v>
          </cell>
        </row>
        <row r="62">
          <cell r="A62" t="str">
            <v>Make your choice</v>
          </cell>
        </row>
        <row r="63">
          <cell r="A63" t="str">
            <v>Yes</v>
          </cell>
        </row>
        <row r="64">
          <cell r="A64" t="str">
            <v>No</v>
          </cell>
        </row>
        <row r="67">
          <cell r="A67" t="str">
            <v>Make your choice</v>
          </cell>
        </row>
        <row r="68">
          <cell r="A68" t="str">
            <v>Yes</v>
          </cell>
        </row>
        <row r="69">
          <cell r="A69" t="str">
            <v>No</v>
          </cell>
        </row>
        <row r="72">
          <cell r="A72" t="str">
            <v>Make your choice</v>
          </cell>
        </row>
        <row r="73">
          <cell r="A73" t="str">
            <v>Categorised</v>
          </cell>
        </row>
        <row r="74">
          <cell r="A74" t="str">
            <v>Functional</v>
          </cell>
        </row>
        <row r="77">
          <cell r="A77" t="str">
            <v>Make your choice</v>
          </cell>
        </row>
        <row r="78">
          <cell r="A78" t="str">
            <v>Equity</v>
          </cell>
        </row>
        <row r="79">
          <cell r="A79" t="str">
            <v>Result</v>
          </cell>
        </row>
        <row r="82">
          <cell r="A82" t="str">
            <v>Make your choice</v>
          </cell>
        </row>
        <row r="84">
          <cell r="A84" t="str">
            <v>Does not comply</v>
          </cell>
        </row>
      </sheetData>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ILAN"/>
    </sheetNames>
    <sheetDataSet>
      <sheetData sheetId="0">
        <row r="5">
          <cell r="G5">
            <v>0</v>
          </cell>
          <cell r="P5">
            <v>-5190000</v>
          </cell>
          <cell r="Q5">
            <v>5190000</v>
          </cell>
        </row>
        <row r="6">
          <cell r="G6">
            <v>0</v>
          </cell>
          <cell r="P6">
            <v>0</v>
          </cell>
        </row>
        <row r="7">
          <cell r="G7">
            <v>0</v>
          </cell>
          <cell r="P7">
            <v>0</v>
          </cell>
        </row>
        <row r="8">
          <cell r="G8">
            <v>0</v>
          </cell>
          <cell r="P8">
            <v>1643509.8019999999</v>
          </cell>
          <cell r="Q8">
            <v>-1643509.8019999999</v>
          </cell>
        </row>
        <row r="9">
          <cell r="G9">
            <v>0</v>
          </cell>
          <cell r="P9">
            <v>0</v>
          </cell>
        </row>
        <row r="10">
          <cell r="G10">
            <v>0</v>
          </cell>
          <cell r="P10">
            <v>-3546490.1979999999</v>
          </cell>
          <cell r="Q10">
            <v>3546490.1979999999</v>
          </cell>
        </row>
        <row r="11">
          <cell r="G11">
            <v>0</v>
          </cell>
        </row>
        <row r="12">
          <cell r="G12">
            <v>0</v>
          </cell>
          <cell r="P12">
            <v>0</v>
          </cell>
          <cell r="Q12">
            <v>1031946.606</v>
          </cell>
        </row>
        <row r="13">
          <cell r="G13">
            <v>0</v>
          </cell>
          <cell r="P13">
            <v>0</v>
          </cell>
          <cell r="Q13">
            <v>0</v>
          </cell>
        </row>
        <row r="14">
          <cell r="G14">
            <v>0</v>
          </cell>
          <cell r="P14">
            <v>-3546490.1979999999</v>
          </cell>
          <cell r="Q14">
            <v>4578436.8039999995</v>
          </cell>
        </row>
        <row r="15">
          <cell r="G15">
            <v>0</v>
          </cell>
          <cell r="H15">
            <v>0</v>
          </cell>
        </row>
        <row r="16">
          <cell r="G16">
            <v>0</v>
          </cell>
          <cell r="H16">
            <v>0</v>
          </cell>
        </row>
        <row r="17">
          <cell r="G17">
            <v>699095.9</v>
          </cell>
          <cell r="H17">
            <v>699095.9</v>
          </cell>
          <cell r="P17">
            <v>0</v>
          </cell>
          <cell r="Q17">
            <v>0</v>
          </cell>
        </row>
        <row r="18">
          <cell r="G18">
            <v>1301448.3370000001</v>
          </cell>
          <cell r="H18">
            <v>1301448.3370000001</v>
          </cell>
          <cell r="P18">
            <v>-1894700</v>
          </cell>
          <cell r="Q18">
            <v>1894700</v>
          </cell>
        </row>
        <row r="19">
          <cell r="G19">
            <v>-549548.90099999995</v>
          </cell>
          <cell r="H19">
            <v>-549548.90099999995</v>
          </cell>
          <cell r="P19">
            <v>0</v>
          </cell>
        </row>
        <row r="20">
          <cell r="G20">
            <v>0</v>
          </cell>
          <cell r="P20">
            <v>0</v>
          </cell>
        </row>
        <row r="21">
          <cell r="G21">
            <v>0</v>
          </cell>
        </row>
        <row r="22">
          <cell r="G22">
            <v>6592927.466</v>
          </cell>
          <cell r="H22">
            <v>6592927.466</v>
          </cell>
        </row>
        <row r="23">
          <cell r="G23">
            <v>-3377976.15</v>
          </cell>
          <cell r="H23">
            <v>-3377976.15</v>
          </cell>
          <cell r="P23">
            <v>-4030927.87</v>
          </cell>
          <cell r="Q23">
            <v>4030927.87</v>
          </cell>
        </row>
        <row r="24">
          <cell r="G24">
            <v>177235.519</v>
          </cell>
          <cell r="H24">
            <v>177235.519</v>
          </cell>
          <cell r="P24">
            <v>-185106.16800000001</v>
          </cell>
          <cell r="Q24">
            <v>185106.16800000001</v>
          </cell>
        </row>
        <row r="25">
          <cell r="G25">
            <v>-94295.8</v>
          </cell>
          <cell r="H25">
            <v>-94295.8</v>
          </cell>
          <cell r="P25">
            <v>-2282426.21</v>
          </cell>
          <cell r="Q25">
            <v>2282426.21</v>
          </cell>
        </row>
        <row r="26">
          <cell r="G26">
            <v>558559.91700000002</v>
          </cell>
          <cell r="H26">
            <v>558559.91700000002</v>
          </cell>
        </row>
        <row r="27">
          <cell r="G27">
            <v>-295293.53999999998</v>
          </cell>
          <cell r="H27">
            <v>-295293.53999999998</v>
          </cell>
          <cell r="P27">
            <v>-8393160.2479999997</v>
          </cell>
          <cell r="Q27">
            <v>8393160.2479999997</v>
          </cell>
        </row>
        <row r="28">
          <cell r="G28">
            <v>309174.09999999998</v>
          </cell>
          <cell r="H28">
            <v>309174.09999999998</v>
          </cell>
        </row>
        <row r="29">
          <cell r="G29">
            <v>-181754.42</v>
          </cell>
          <cell r="H29">
            <v>-181754.42</v>
          </cell>
        </row>
        <row r="30">
          <cell r="G30">
            <v>65150.400000000001</v>
          </cell>
          <cell r="H30">
            <v>65150.400000000001</v>
          </cell>
        </row>
        <row r="31">
          <cell r="G31">
            <v>-58934.82</v>
          </cell>
          <cell r="H31">
            <v>-58934.82</v>
          </cell>
        </row>
        <row r="32">
          <cell r="G32">
            <v>0</v>
          </cell>
        </row>
        <row r="33">
          <cell r="G33">
            <v>0</v>
          </cell>
        </row>
        <row r="34">
          <cell r="G34">
            <v>418183.08</v>
          </cell>
          <cell r="H34">
            <v>418183.08</v>
          </cell>
        </row>
        <row r="35">
          <cell r="G35">
            <v>5563971.0880000014</v>
          </cell>
          <cell r="H35">
            <v>5563971.0880000014</v>
          </cell>
        </row>
        <row r="37">
          <cell r="G37">
            <v>0</v>
          </cell>
          <cell r="H37">
            <v>0</v>
          </cell>
        </row>
        <row r="38">
          <cell r="G38">
            <v>0</v>
          </cell>
        </row>
        <row r="39">
          <cell r="G39">
            <v>0</v>
          </cell>
        </row>
        <row r="40">
          <cell r="G40">
            <v>449150.28700000001</v>
          </cell>
          <cell r="H40">
            <v>449150.28700000001</v>
          </cell>
        </row>
        <row r="41">
          <cell r="G41">
            <v>0</v>
          </cell>
        </row>
        <row r="42">
          <cell r="G42">
            <v>41246.042999999998</v>
          </cell>
          <cell r="H42">
            <v>41246.042999999998</v>
          </cell>
        </row>
        <row r="43">
          <cell r="G43">
            <v>6849.0720000000001</v>
          </cell>
          <cell r="H43">
            <v>6849.0720000000001</v>
          </cell>
        </row>
        <row r="44">
          <cell r="G44">
            <v>0</v>
          </cell>
        </row>
        <row r="45">
          <cell r="G45">
            <v>497245.402</v>
          </cell>
          <cell r="H45">
            <v>497245.402</v>
          </cell>
        </row>
        <row r="47">
          <cell r="G47">
            <v>71387.588000000003</v>
          </cell>
          <cell r="H47">
            <v>71387.588000000003</v>
          </cell>
        </row>
        <row r="48">
          <cell r="G48">
            <v>6132604.0780000016</v>
          </cell>
          <cell r="H48">
            <v>6132604.0780000016</v>
          </cell>
        </row>
        <row r="50">
          <cell r="G50">
            <v>0</v>
          </cell>
          <cell r="H50">
            <v>0</v>
          </cell>
        </row>
        <row r="51">
          <cell r="G51">
            <v>2972969.7790000001</v>
          </cell>
          <cell r="H51">
            <v>2972969.7790000001</v>
          </cell>
        </row>
        <row r="52">
          <cell r="G52">
            <v>-213070.04199999999</v>
          </cell>
          <cell r="H52">
            <v>-213070.04199999999</v>
          </cell>
        </row>
        <row r="53">
          <cell r="G53">
            <v>2906915.8020000001</v>
          </cell>
          <cell r="H53">
            <v>2906915.8020000001</v>
          </cell>
        </row>
        <row r="54">
          <cell r="G54">
            <v>-70635.601999999999</v>
          </cell>
          <cell r="H54">
            <v>-70635.601999999999</v>
          </cell>
        </row>
        <row r="55">
          <cell r="G55">
            <v>361522.087</v>
          </cell>
          <cell r="H55">
            <v>361522.087</v>
          </cell>
        </row>
        <row r="56">
          <cell r="G56">
            <v>502105</v>
          </cell>
          <cell r="H56">
            <v>502105</v>
          </cell>
        </row>
        <row r="57">
          <cell r="G57">
            <v>0</v>
          </cell>
        </row>
        <row r="58">
          <cell r="G58">
            <v>379185.95</v>
          </cell>
          <cell r="H58">
            <v>379185.95</v>
          </cell>
        </row>
        <row r="59">
          <cell r="G59">
            <v>6838992.9740000013</v>
          </cell>
          <cell r="H59">
            <v>6838992.9740000013</v>
          </cell>
        </row>
      </sheetData>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L 02"/>
      <sheetName val="BL 03"/>
      <sheetName val="Graph1"/>
      <sheetName val="Feuil1"/>
      <sheetName val="JOURNAL CONS 03"/>
      <sheetName val="BL POULINA 2003"/>
      <sheetName val="J 4 STE"/>
      <sheetName val="CASINO "/>
      <sheetName val="ERES CASINO"/>
      <sheetName val="MADAJEN"/>
      <sheetName val="ERES MADAJEN"/>
      <sheetName val="AFFICHE"/>
      <sheetName val="ERES AFFICHE"/>
      <sheetName val="SOCODIS"/>
      <sheetName val="ERES SOCODIS"/>
      <sheetName val="BILAN CONSO"/>
      <sheetName val="ER CONSO"/>
      <sheetName val="BILAN GROUPE Y COMPRIS 4"/>
      <sheetName val="ERES GROUPE Y COMPRIS 4"/>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2">
          <cell r="B2">
            <v>37986</v>
          </cell>
        </row>
        <row r="5">
          <cell r="G5">
            <v>113411.95699999999</v>
          </cell>
          <cell r="H5">
            <v>113411.95699999999</v>
          </cell>
          <cell r="P5">
            <v>13650000</v>
          </cell>
          <cell r="Q5">
            <v>357024348.74000001</v>
          </cell>
        </row>
        <row r="6">
          <cell r="G6">
            <v>-113411.95699999999</v>
          </cell>
          <cell r="H6">
            <v>-75607.971999999994</v>
          </cell>
          <cell r="P6">
            <v>1.1641532182693481E-10</v>
          </cell>
          <cell r="Q6">
            <v>7395602.4750146624</v>
          </cell>
        </row>
        <row r="7">
          <cell r="G7">
            <v>194497.49036</v>
          </cell>
          <cell r="H7">
            <v>632810.57300000009</v>
          </cell>
          <cell r="P7">
            <v>-4.4657941907644272E-4</v>
          </cell>
          <cell r="Q7">
            <v>81188088.003343999</v>
          </cell>
        </row>
        <row r="8">
          <cell r="G8">
            <v>-159627.38499999998</v>
          </cell>
          <cell r="H8">
            <v>-147624.49099999998</v>
          </cell>
          <cell r="P8">
            <v>17229346.456595689</v>
          </cell>
        </row>
        <row r="9">
          <cell r="G9">
            <v>2563531.1209999998</v>
          </cell>
          <cell r="H9">
            <v>2033759.3309999998</v>
          </cell>
          <cell r="P9">
            <v>3.3768266439437866E-4</v>
          </cell>
          <cell r="Q9">
            <v>15007485.608000001</v>
          </cell>
        </row>
        <row r="10">
          <cell r="G10">
            <v>-1793510.75</v>
          </cell>
          <cell r="H10">
            <v>-1317306.8299999998</v>
          </cell>
          <cell r="P10">
            <v>0</v>
          </cell>
          <cell r="Q10">
            <v>-3830696.6840000004</v>
          </cell>
        </row>
        <row r="11">
          <cell r="G11">
            <v>1046586.5</v>
          </cell>
          <cell r="H11">
            <v>1042190.5</v>
          </cell>
          <cell r="P11">
            <v>0</v>
          </cell>
          <cell r="Q11">
            <v>61642.747760595987</v>
          </cell>
        </row>
        <row r="12">
          <cell r="G12">
            <v>-321759.50300000003</v>
          </cell>
          <cell r="H12">
            <v>-260581.41800000001</v>
          </cell>
          <cell r="P12">
            <v>0</v>
          </cell>
          <cell r="Q12">
            <v>-28331714.646358669</v>
          </cell>
        </row>
        <row r="13">
          <cell r="G13">
            <v>81000</v>
          </cell>
          <cell r="H13">
            <v>81000</v>
          </cell>
          <cell r="P13">
            <v>0</v>
          </cell>
          <cell r="Q13">
            <v>5.8207660913467407E-10</v>
          </cell>
        </row>
        <row r="14">
          <cell r="G14">
            <v>-15746.120999999999</v>
          </cell>
          <cell r="H14">
            <v>-11696.120999999999</v>
          </cell>
        </row>
        <row r="15">
          <cell r="G15">
            <v>31570521.279635675</v>
          </cell>
          <cell r="H15">
            <v>0</v>
          </cell>
          <cell r="P15">
            <v>5778170.4488926772</v>
          </cell>
        </row>
        <row r="16">
          <cell r="G16">
            <v>33165492.631995674</v>
          </cell>
          <cell r="H16">
            <v>2090355.5289999999</v>
          </cell>
        </row>
        <row r="17">
          <cell r="P17">
            <v>36657516.905379467</v>
          </cell>
          <cell r="Q17">
            <v>428514756.24376059</v>
          </cell>
        </row>
        <row r="19">
          <cell r="G19">
            <v>43499357.806000002</v>
          </cell>
          <cell r="H19">
            <v>43526910.300000004</v>
          </cell>
          <cell r="P19">
            <v>0</v>
          </cell>
        </row>
        <row r="20">
          <cell r="G20">
            <v>127146674.59</v>
          </cell>
          <cell r="H20">
            <v>118468155.914</v>
          </cell>
          <cell r="P20">
            <v>175933446.32351938</v>
          </cell>
        </row>
        <row r="21">
          <cell r="G21">
            <v>-31121745.743000004</v>
          </cell>
          <cell r="H21">
            <v>-25185255.772</v>
          </cell>
          <cell r="P21">
            <v>10922386.880840253</v>
          </cell>
        </row>
        <row r="22">
          <cell r="G22">
            <v>1701140.3359999999</v>
          </cell>
          <cell r="H22">
            <v>1709940.3359999999</v>
          </cell>
        </row>
        <row r="23">
          <cell r="G23">
            <v>-475429.51699999999</v>
          </cell>
          <cell r="H23">
            <v>-313304.48699999996</v>
          </cell>
          <cell r="P23">
            <v>186855833.20435962</v>
          </cell>
          <cell r="Q23">
            <v>0</v>
          </cell>
        </row>
        <row r="24">
          <cell r="G24">
            <v>0</v>
          </cell>
          <cell r="H24">
            <v>0</v>
          </cell>
        </row>
        <row r="25">
          <cell r="G25">
            <v>0</v>
          </cell>
          <cell r="H25">
            <v>0</v>
          </cell>
          <cell r="P25">
            <v>0</v>
          </cell>
          <cell r="Q25">
            <v>14289145.794910999</v>
          </cell>
        </row>
        <row r="26">
          <cell r="G26">
            <v>224340893.07053</v>
          </cell>
          <cell r="H26">
            <v>214245003.20199999</v>
          </cell>
        </row>
        <row r="27">
          <cell r="G27">
            <v>-118024193.17900003</v>
          </cell>
          <cell r="H27">
            <v>-97065441.578999996</v>
          </cell>
          <cell r="P27">
            <v>223513350.10973909</v>
          </cell>
          <cell r="Q27">
            <v>442803902.03867161</v>
          </cell>
        </row>
        <row r="28">
          <cell r="G28">
            <v>20087340.463999994</v>
          </cell>
          <cell r="H28">
            <v>20262590.643999998</v>
          </cell>
        </row>
        <row r="29">
          <cell r="G29">
            <v>-15487370.362</v>
          </cell>
          <cell r="H29">
            <v>-13602465.394000001</v>
          </cell>
        </row>
        <row r="30">
          <cell r="G30">
            <v>57405745.602010004</v>
          </cell>
          <cell r="H30">
            <v>50868412.273000002</v>
          </cell>
        </row>
        <row r="31">
          <cell r="G31">
            <v>-24524830.702</v>
          </cell>
          <cell r="H31">
            <v>-20554961.563999999</v>
          </cell>
          <cell r="P31">
            <v>163254767.56999999</v>
          </cell>
          <cell r="Q31">
            <v>133592533.72300002</v>
          </cell>
        </row>
        <row r="32">
          <cell r="G32">
            <v>11470226.019979997</v>
          </cell>
          <cell r="H32">
            <v>11153374.664000001</v>
          </cell>
          <cell r="P32">
            <v>1918304.666</v>
          </cell>
          <cell r="Q32">
            <v>1709697.95</v>
          </cell>
        </row>
        <row r="33">
          <cell r="G33">
            <v>-7236294.3200000003</v>
          </cell>
          <cell r="H33">
            <v>-6608145.3469999991</v>
          </cell>
          <cell r="P33">
            <v>885205.16399999999</v>
          </cell>
          <cell r="Q33">
            <v>973692.89599999995</v>
          </cell>
        </row>
        <row r="34">
          <cell r="G34">
            <v>9603675.481279999</v>
          </cell>
          <cell r="H34">
            <v>9461977.8090000004</v>
          </cell>
        </row>
        <row r="35">
          <cell r="G35">
            <v>-4545579.335</v>
          </cell>
          <cell r="H35">
            <v>-3556722.5999999996</v>
          </cell>
        </row>
        <row r="36">
          <cell r="G36">
            <v>1614527.2463799997</v>
          </cell>
          <cell r="H36">
            <v>3090883.6150000002</v>
          </cell>
          <cell r="P36">
            <v>113945005.60119598</v>
          </cell>
          <cell r="Q36">
            <v>93268244.913837761</v>
          </cell>
        </row>
        <row r="37">
          <cell r="G37">
            <v>-1487478.406</v>
          </cell>
          <cell r="H37">
            <v>-2557931.4419999993</v>
          </cell>
          <cell r="P37">
            <v>36795595.280188203</v>
          </cell>
          <cell r="Q37">
            <v>16516123.263970101</v>
          </cell>
        </row>
        <row r="38">
          <cell r="G38">
            <v>67240936.529729992</v>
          </cell>
          <cell r="H38">
            <v>54619646.042999998</v>
          </cell>
          <cell r="P38">
            <v>107452392.23382179</v>
          </cell>
          <cell r="Q38">
            <v>113768023.66788667</v>
          </cell>
        </row>
        <row r="39">
          <cell r="G39">
            <v>361207595.58191001</v>
          </cell>
          <cell r="H39">
            <v>357962666.61500001</v>
          </cell>
        </row>
        <row r="40">
          <cell r="P40">
            <v>424251270.51520598</v>
          </cell>
          <cell r="Q40">
            <v>359828316.41469455</v>
          </cell>
        </row>
        <row r="42">
          <cell r="G42">
            <v>8417835.6786412001</v>
          </cell>
          <cell r="H42">
            <v>193498523.52719998</v>
          </cell>
        </row>
        <row r="43">
          <cell r="G43">
            <v>-5146.2429999996093</v>
          </cell>
          <cell r="H43">
            <v>-8053397.0640000012</v>
          </cell>
        </row>
        <row r="44">
          <cell r="G44">
            <v>1532212.1780000001</v>
          </cell>
          <cell r="H44">
            <v>1819813.9049999998</v>
          </cell>
        </row>
        <row r="45">
          <cell r="G45">
            <v>1013486.4909999999</v>
          </cell>
          <cell r="H45">
            <v>1148858.469</v>
          </cell>
        </row>
        <row r="46">
          <cell r="G46">
            <v>464438.70799999998</v>
          </cell>
          <cell r="H46">
            <v>823280</v>
          </cell>
        </row>
        <row r="47">
          <cell r="G47">
            <v>-255769.64099999977</v>
          </cell>
          <cell r="H47">
            <v>-2215187.6230000001</v>
          </cell>
        </row>
        <row r="48">
          <cell r="G48">
            <v>11167057.171641203</v>
          </cell>
          <cell r="H48">
            <v>187021891.21419999</v>
          </cell>
        </row>
        <row r="50">
          <cell r="G50">
            <v>7155029.9999400005</v>
          </cell>
          <cell r="H50">
            <v>5904512.8370000003</v>
          </cell>
        </row>
        <row r="51">
          <cell r="G51">
            <v>412695175.3854869</v>
          </cell>
          <cell r="H51">
            <v>552979426.19519997</v>
          </cell>
        </row>
        <row r="54">
          <cell r="G54">
            <v>91335174.971021816</v>
          </cell>
          <cell r="H54">
            <v>88669371.356000006</v>
          </cell>
        </row>
        <row r="55">
          <cell r="G55">
            <v>-912586.44</v>
          </cell>
          <cell r="H55">
            <v>-1468241.9720000001</v>
          </cell>
        </row>
        <row r="56">
          <cell r="G56">
            <v>85056284.806312621</v>
          </cell>
          <cell r="H56">
            <v>91053667.466442421</v>
          </cell>
        </row>
        <row r="57">
          <cell r="G57">
            <v>-10808336.268999999</v>
          </cell>
          <cell r="H57">
            <v>-9066176.6399999987</v>
          </cell>
        </row>
        <row r="58">
          <cell r="G58">
            <v>49859502.313568175</v>
          </cell>
          <cell r="H58">
            <v>49000229.300080992</v>
          </cell>
        </row>
        <row r="59">
          <cell r="G59">
            <v>7401682.173721551</v>
          </cell>
          <cell r="H59">
            <v>24934458.722000003</v>
          </cell>
        </row>
        <row r="60">
          <cell r="G60">
            <v>-1392762.3559999999</v>
          </cell>
          <cell r="H60">
            <v>-1862864.719</v>
          </cell>
        </row>
        <row r="61">
          <cell r="G61">
            <v>14530486.036792899</v>
          </cell>
          <cell r="H61">
            <v>8392348.7446430009</v>
          </cell>
        </row>
        <row r="62">
          <cell r="G62">
            <v>235069445.23641708</v>
          </cell>
          <cell r="H62">
            <v>249652792.2581664</v>
          </cell>
        </row>
      </sheetData>
      <sheetData sheetId="18"/>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rap"/>
      <sheetName val="Prima"/>
      <sheetName val="IdxUsd"/>
    </sheetNames>
    <sheetDataSet>
      <sheetData sheetId="0" refreshError="1"/>
      <sheetData sheetId="1" refreshError="1"/>
      <sheetData sheetId="2"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TIONS"/>
      <sheetName val="CO RECONCILIATION"/>
      <sheetName val="EXPENDITURE CYCLE"/>
      <sheetName val="DESIGN TAB"/>
    </sheetNames>
    <sheetDataSet>
      <sheetData sheetId="0" refreshError="1"/>
      <sheetData sheetId="1" refreshError="1"/>
      <sheetData sheetId="2"/>
      <sheetData sheetId="3"/>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uidance"/>
      <sheetName val="Overview "/>
      <sheetName val="Bank Confirmations"/>
      <sheetName val="Testing of Bank Reconciliations"/>
      <sheetName val="Additive Items Testing"/>
      <sheetName val="Subtractive Items Testing"/>
      <sheetName val="Testing FX Balances"/>
      <sheetName val="Tickmarks"/>
      <sheetName val="HideSheet"/>
    </sheetNames>
    <sheetDataSet>
      <sheetData sheetId="0"/>
      <sheetData sheetId="1"/>
      <sheetData sheetId="2"/>
      <sheetData sheetId="3"/>
      <sheetData sheetId="4"/>
      <sheetData sheetId="5"/>
      <sheetData sheetId="6"/>
      <sheetData sheetId="7"/>
      <sheetData sheetId="8">
        <row r="17">
          <cell r="A17" t="str">
            <v xml:space="preserve">Based on the procedures performed we conclude the required assurance has been obtained and NO misstatements have been identified. </v>
          </cell>
        </row>
        <row r="18">
          <cell r="A18" t="str">
            <v xml:space="preserve">Based on the procedures performed we conclude the required assurance has been obtained and misstatements have been identified. </v>
          </cell>
        </row>
        <row r="19">
          <cell r="A19" t="str">
            <v xml:space="preserve">Based on the procedures performed we conclude the required assurance has been obtained and material misstatements have been identified. </v>
          </cell>
        </row>
      </sheetData>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2"/>
      <sheetName val="TOTAAL"/>
      <sheetName val="Alternative sample sizes"/>
      <sheetName val="Sheet1"/>
    </sheetNames>
    <sheetDataSet>
      <sheetData sheetId="0"/>
      <sheetData sheetId="1">
        <row r="9">
          <cell r="C9">
            <v>80000</v>
          </cell>
        </row>
      </sheetData>
      <sheetData sheetId="2"/>
      <sheetData sheetId="3"/>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le"/>
      <sheetName val="Document control"/>
      <sheetName val="Scope &amp; Instruction"/>
      <sheetName val="Overview"/>
      <sheetName val="Schedule &amp; analysis"/>
      <sheetName val="TOD - Confirmations"/>
      <sheetName val="TOD - Subsequent Cash"/>
      <sheetName val="TOD - Estimates"/>
      <sheetName val="TOD - Test of Origin"/>
      <sheetName val="Related Party Transactions"/>
      <sheetName val="IPE"/>
      <sheetName val="Disclosures"/>
      <sheetName val="Sampling (HIDE)"/>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2">
          <cell r="E2">
            <v>157500</v>
          </cell>
        </row>
      </sheetData>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quired to Complete Form"/>
      <sheetName val="Carryover Effects"/>
      <sheetName val="Summary of Misstatements"/>
      <sheetName val="Other Conditions"/>
      <sheetName val="Qualitative Considerations"/>
      <sheetName val="Conclusions"/>
      <sheetName val="Tickmarks"/>
      <sheetName val="MetaData"/>
    </sheetNames>
    <sheetDataSet>
      <sheetData sheetId="0" refreshError="1"/>
      <sheetData sheetId="1" refreshError="1"/>
      <sheetData sheetId="2">
        <row r="12">
          <cell r="D12">
            <v>0</v>
          </cell>
          <cell r="E12">
            <v>0</v>
          </cell>
          <cell r="G12">
            <v>0</v>
          </cell>
          <cell r="H12">
            <v>0</v>
          </cell>
          <cell r="J12">
            <v>0</v>
          </cell>
          <cell r="K12">
            <v>0</v>
          </cell>
          <cell r="L12">
            <v>0</v>
          </cell>
          <cell r="M12">
            <v>0</v>
          </cell>
        </row>
        <row r="35">
          <cell r="D35">
            <v>0</v>
          </cell>
          <cell r="E35">
            <v>0</v>
          </cell>
          <cell r="G35">
            <v>0</v>
          </cell>
          <cell r="H35">
            <v>0</v>
          </cell>
          <cell r="K35">
            <v>0</v>
          </cell>
          <cell r="L35">
            <v>0</v>
          </cell>
          <cell r="M35">
            <v>0</v>
          </cell>
        </row>
        <row r="44">
          <cell r="F44">
            <v>0</v>
          </cell>
          <cell r="H44">
            <v>0</v>
          </cell>
          <cell r="K44">
            <v>0</v>
          </cell>
          <cell r="M44">
            <v>0</v>
          </cell>
        </row>
        <row r="52">
          <cell r="F52">
            <v>0</v>
          </cell>
          <cell r="H52">
            <v>0</v>
          </cell>
          <cell r="K52">
            <v>0</v>
          </cell>
          <cell r="M52">
            <v>0</v>
          </cell>
        </row>
        <row r="53">
          <cell r="J53">
            <v>0</v>
          </cell>
        </row>
      </sheetData>
      <sheetData sheetId="3" refreshError="1"/>
      <sheetData sheetId="4" refreshError="1"/>
      <sheetData sheetId="5" refreshError="1"/>
      <sheetData sheetId="6" refreshError="1"/>
      <sheetData sheetId="7"/>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uidance"/>
      <sheetName val="Summary"/>
      <sheetName val="Balance Sheet"/>
      <sheetName val="Income Statement"/>
      <sheetName val="Ratios"/>
      <sheetName val="Graphs"/>
      <sheetName val="Graphs Data"/>
      <sheetName val="Other Analytical Procedures"/>
      <sheetName val="Tickmarks"/>
    </sheetNames>
    <sheetDataSet>
      <sheetData sheetId="0" refreshError="1"/>
      <sheetData sheetId="1" refreshError="1"/>
      <sheetData sheetId="2"/>
      <sheetData sheetId="3"/>
      <sheetData sheetId="4"/>
      <sheetData sheetId="5" refreshError="1"/>
      <sheetData sheetId="6" refreshError="1"/>
      <sheetData sheetId="7" refreshError="1"/>
      <sheetData sheetId="8"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ead sheet"/>
      <sheetName val="TB 31.12.2019 Monb (30.01.2020)"/>
      <sheetName val="0000651 AY  18.10.2019"/>
      <sheetName val="0000651 AZ  29.11.2019"/>
      <sheetName val="54271 28.11.2019"/>
      <sheetName val="Loans lended"/>
      <sheetName val="4962"/>
      <sheetName val="2681"/>
      <sheetName val="2682"/>
      <sheetName val="4961"/>
      <sheetName val="Loans to External parties"/>
      <sheetName val="Related parties receivables"/>
      <sheetName val="Covenants "/>
      <sheetName val="TB 30.09.2019"/>
      <sheetName val="RFB 25.02.2014"/>
      <sheetName val="EFG 3 {339)"/>
      <sheetName val="EFG 2{100-972}"/>
      <sheetName val="Hypo 16.05.2014"/>
      <sheetName val="DSK 1675"/>
      <sheetName val="DSK 1674"/>
      <sheetName val="SG Bank"/>
      <sheetName val="RFB 09.11.2015"/>
      <sheetName val="Hypo 20.07.2016 "/>
      <sheetName val="Piraeu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ow r="13">
          <cell r="C13">
            <v>17874118.77</v>
          </cell>
        </row>
      </sheetData>
      <sheetData sheetId="15"/>
      <sheetData sheetId="16"/>
      <sheetData sheetId="17"/>
      <sheetData sheetId="18"/>
      <sheetData sheetId="19"/>
      <sheetData sheetId="20"/>
      <sheetData sheetId="21"/>
      <sheetData sheetId="22"/>
      <sheetData sheetId="23"/>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mary"/>
      <sheetName val="Loan Portfolio as of 31.12.2019"/>
      <sheetName val="TB 31.12.2019 Monb (30.01.2020)"/>
      <sheetName val="Monbat AD=&gt;"/>
      <sheetName val="SG Bank"/>
      <sheetName val="RFB 09.11.2015"/>
      <sheetName val="Hypo 20.07.2016 "/>
      <sheetName val="EFG 3 {339)"/>
      <sheetName val="Piraeus"/>
      <sheetName val="EFG 2{100-972}"/>
      <sheetName val="RFB 25.02.2014"/>
      <sheetName val="DSK 1675"/>
      <sheetName val="DSK 1674"/>
      <sheetName val="Hypo 16.05.2014"/>
      <sheetName val="Monbat Recycling=&gt;"/>
      <sheetName val=" Loan Raiffeisen Summary"/>
      <sheetName val="Revolving loan Summary"/>
      <sheetName val="Loan Piraeus Sunlight"/>
      <sheetName val="Start AD=&gt;"/>
      <sheetName val="Acc. 15222 Loan 2019 Summary"/>
      <sheetName val="Acc. 15222 Overdraft Summary"/>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ow r="54">
          <cell r="W54">
            <v>26650.984911776584</v>
          </cell>
        </row>
      </sheetData>
      <sheetData sheetId="16"/>
      <sheetData sheetId="17"/>
      <sheetData sheetId="18"/>
      <sheetData sheetId="19">
        <row r="37">
          <cell r="S37">
            <v>30157.4</v>
          </cell>
        </row>
      </sheetData>
      <sheetData sheetId="20"/>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mary"/>
      <sheetName val="Trade Simplified Approach"/>
      <sheetName val="Loans &amp; Deposits granted to RP"/>
      <sheetName val="Trade &amp; Other Receivables RP "/>
      <sheetName val="Loans to External parties"/>
      <sheetName val="Ageing of Trade &amp; RP receivable"/>
      <sheetName val="Cash &amp; Cash Equivalents 31.12"/>
      <sheetName val="PD &amp; Credit ratings"/>
      <sheetName val="Impairment expense - Historic"/>
      <sheetName val="Reconciliation"/>
      <sheetName val="БАЕЗ чуждестранни дружества"/>
      <sheetName val="БАЕЗ БГ пазар"/>
      <sheetName val="Trade payables  4011 &amp; 4012"/>
      <sheetName val="Other Receivables from RP"/>
      <sheetName val="4962"/>
      <sheetName val="4961"/>
      <sheetName val="2682"/>
      <sheetName val="2681"/>
      <sheetName val="411_svarzani_salda"/>
      <sheetName val="402_svarzani salda"/>
      <sheetName val="4981"/>
      <sheetName val="4982"/>
      <sheetName val="4011 по фактури"/>
      <sheetName val="4012 по фактури"/>
      <sheetName val="411 по фактури"/>
      <sheetName val="4112 по фактури"/>
      <sheetName val="4011_salda_nonRP"/>
      <sheetName val="4012_salda_nonRP"/>
      <sheetName val="411_salda_nonRP"/>
      <sheetName val="4112_salda_nonRP"/>
      <sheetName val="401_svarzani_salda"/>
      <sheetName val="Оборотна ведомост"/>
      <sheetName val="Cash"/>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ead"/>
      <sheetName val="Tickmarks"/>
    </sheetNames>
    <sheetDataSet>
      <sheetData sheetId="0"/>
      <sheetData sheetId="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TAT.ACC"/>
      <sheetName val="Macros"/>
      <sheetName val="Menu"/>
      <sheetName val="ATTENTION"/>
      <sheetName val="Sauvegarde"/>
      <sheetName val="Impression"/>
      <sheetName val="BILFLU"/>
      <sheetName val="Feuil1"/>
      <sheetName val="TAB2"/>
      <sheetName val="Feuil3"/>
      <sheetName val="TAB2LU"/>
      <sheetName val="ComptesExclus"/>
      <sheetName val="Jointivité"/>
      <sheetName val="bilan"/>
      <sheetName val="Feuil2"/>
      <sheetName val="res auto"/>
      <sheetName val="TAB4"/>
      <sheetName val="TAB4LU"/>
      <sheetName val="Tréso"/>
      <sheetName val="TAB6"/>
      <sheetName val="TAB7"/>
      <sheetName val="TAB8"/>
      <sheetName val="PlanComptable"/>
      <sheetName val="Affectation Etat de flux"/>
      <sheetName val="EcrituresAux"/>
      <sheetName val="ANNEXE2"/>
      <sheetName val="ETAT_ACC"/>
      <sheetName val="res_auto"/>
      <sheetName val="Affectation_Etat_de_flux"/>
      <sheetName val="TITRE-PARTICIPATION-variation"/>
      <sheetName val="ETAT_ACC1"/>
      <sheetName val="res_auto1"/>
      <sheetName val="Affectation_Etat_de_flux1"/>
      <sheetName val="ETAT_ACC2"/>
      <sheetName val="res_auto2"/>
      <sheetName val="Affectation_Etat_de_flux2"/>
      <sheetName val="ETAT_ACC3"/>
      <sheetName val="res_auto3"/>
      <sheetName val="Affectation_Etat_de_flux3"/>
      <sheetName val="TUN2"/>
      <sheetName val="commentaires"/>
      <sheetName val="MBSV2"/>
      <sheetName val="RO"/>
      <sheetName val="RONET"/>
      <sheetName val="ETAT_ACC7"/>
      <sheetName val="res_auto7"/>
      <sheetName val="Affectation_Etat_de_flux7"/>
      <sheetName val="Note"/>
      <sheetName val="ETAT_ACC4"/>
      <sheetName val="res_auto4"/>
      <sheetName val="Affectation_Etat_de_flux4"/>
      <sheetName val="ETAT_ACC5"/>
      <sheetName val="res_auto5"/>
      <sheetName val="Affectation_Etat_de_flux5"/>
      <sheetName val="ETAT_ACC6"/>
      <sheetName val="res_auto6"/>
      <sheetName val="Affectation_Etat_de_flux6"/>
      <sheetName val="Balance comparative (2)"/>
      <sheetName val="15-bs_Niveau"/>
      <sheetName val="ALC New"/>
      <sheetName val="ETAT_ACC8"/>
      <sheetName val="res_auto8"/>
      <sheetName val="Affectation_Etat_de_flux8"/>
      <sheetName val="Balance_comparative_(2)"/>
      <sheetName val="ETAT_ACC9"/>
      <sheetName val="res_auto9"/>
      <sheetName val="Affectation_Etat_de_flux9"/>
      <sheetName val="Main"/>
      <sheetName val="Work"/>
      <sheetName val="Balance_comparative_(2)1"/>
      <sheetName val="ETAT_ACC10"/>
      <sheetName val="res_auto10"/>
      <sheetName val="Affectation_Etat_de_flux10"/>
      <sheetName val="Balance_comparative_(2)2"/>
      <sheetName val="ETAT_ACC23"/>
      <sheetName val="res_auto23"/>
      <sheetName val="Affectation_Etat_de_flux23"/>
      <sheetName val="ETAT_ACC11"/>
      <sheetName val="res_auto11"/>
      <sheetName val="Affectation_Etat_de_flux11"/>
      <sheetName val="ETAT_ACC18"/>
      <sheetName val="res_auto18"/>
      <sheetName val="Affectation_Etat_de_flux18"/>
      <sheetName val="ETAT_ACC15"/>
      <sheetName val="res_auto15"/>
      <sheetName val="Affectation_Etat_de_flux15"/>
      <sheetName val="ETAT_ACC13"/>
      <sheetName val="res_auto13"/>
      <sheetName val="Affectation_Etat_de_flux13"/>
      <sheetName val="ETAT_ACC12"/>
      <sheetName val="res_auto12"/>
      <sheetName val="Affectation_Etat_de_flux12"/>
      <sheetName val="ETAT_ACC14"/>
      <sheetName val="res_auto14"/>
      <sheetName val="Affectation_Etat_de_flux14"/>
      <sheetName val="ETAT_ACC16"/>
      <sheetName val="res_auto16"/>
      <sheetName val="Affectation_Etat_de_flux16"/>
      <sheetName val="ETAT_ACC17"/>
      <sheetName val="res_auto17"/>
      <sheetName val="Affectation_Etat_de_flux17"/>
      <sheetName val="ETAT_ACC19"/>
      <sheetName val="res_auto19"/>
      <sheetName val="Affectation_Etat_de_flux19"/>
      <sheetName val="ETAT_ACC20"/>
      <sheetName val="res_auto20"/>
      <sheetName val="Affectation_Etat_de_flux20"/>
      <sheetName val="ETAT_ACC21"/>
      <sheetName val="res_auto21"/>
      <sheetName val="Affectation_Etat_de_flux21"/>
      <sheetName val="ETAT_ACC22"/>
      <sheetName val="res_auto22"/>
      <sheetName val="Affectation_Etat_de_flux22"/>
      <sheetName val="ETAT_ACC24"/>
      <sheetName val="res_auto24"/>
      <sheetName val="Affectation_Etat_de_flux24"/>
      <sheetName val="ETAT_ACC25"/>
      <sheetName val="res_auto25"/>
      <sheetName val="Affectation_Etat_de_flux25"/>
      <sheetName val="ETAT_ACC26"/>
      <sheetName val="res_auto26"/>
      <sheetName val="Affectation_Etat_de_flux26"/>
      <sheetName val="ETAT_ACC27"/>
      <sheetName val="res_auto27"/>
      <sheetName val="Affectation_Etat_de_flux27"/>
      <sheetName val="ETAT_ACC28"/>
      <sheetName val="res_auto28"/>
      <sheetName val="Affectation_Etat_de_flux28"/>
      <sheetName val="ETAT_ACC29"/>
      <sheetName val="res_auto29"/>
      <sheetName val="Affectation_Etat_de_flux29"/>
      <sheetName val="ETAT_ACC30"/>
      <sheetName val="res_auto30"/>
      <sheetName val="Affectation_Etat_de_flux30"/>
      <sheetName val="ETAT_ACC31"/>
      <sheetName val="res_auto31"/>
      <sheetName val="Affectation_Etat_de_flux31"/>
      <sheetName val="ETAT_ACC32"/>
      <sheetName val="res_auto32"/>
      <sheetName val="Affectation_Etat_de_flux32"/>
      <sheetName val="ETAT_ACC33"/>
      <sheetName val="res_auto33"/>
      <sheetName val="Affectation_Etat_de_flux33"/>
      <sheetName val="Balance_comparative_(2)3"/>
      <sheetName val="ETAT_ACC34"/>
      <sheetName val="res_auto34"/>
      <sheetName val="Affectation_Etat_de_flux34"/>
      <sheetName val="Balance_comparative_(2)4"/>
      <sheetName val="ETAT_ACC35"/>
      <sheetName val="res_auto35"/>
      <sheetName val="Affectation_Etat_de_flux35"/>
      <sheetName val="Balance_comparative_(2)5"/>
      <sheetName val="ETAT_ACC36"/>
      <sheetName val="res_auto36"/>
      <sheetName val="Affectation_Etat_de_flux36"/>
      <sheetName val="Balance_comparative_(2)6"/>
      <sheetName val="ETAT_ACC37"/>
      <sheetName val="res_auto37"/>
      <sheetName val="Affectation_Etat_de_flux37"/>
      <sheetName val="Balance_comparative_(2)7"/>
      <sheetName val="ETAT_ACC38"/>
      <sheetName val="res_auto38"/>
      <sheetName val="Affectation_Etat_de_flux38"/>
      <sheetName val="ETAT_ACC39"/>
      <sheetName val="res_auto39"/>
      <sheetName val="Affectation_Etat_de_flux39"/>
      <sheetName val="ETAT_ACC40"/>
      <sheetName val="res_auto40"/>
      <sheetName val="Affectation_Etat_de_flux40"/>
      <sheetName val="ETAT_ACC41"/>
      <sheetName val="res_auto41"/>
      <sheetName val="Affectation_Etat_de_flux41"/>
      <sheetName val="ALC_New"/>
      <sheetName val="ALC_New1"/>
      <sheetName val="ALC_New2"/>
      <sheetName val="ALC_New3"/>
      <sheetName val="ALC_New4"/>
      <sheetName val="Paramètre_Article"/>
      <sheetName val="codes"/>
      <sheetName val="Cover"/>
      <sheetName val="Balance_comparative_(2)8"/>
      <sheetName val="Balance_comparative_(2)9"/>
      <sheetName val="Balance_comparative_(2)11"/>
      <sheetName val="ALC_New6"/>
      <sheetName val="Balance_comparative_(2)10"/>
      <sheetName val="ALC_New5"/>
      <sheetName val="Balance_comparative_(2)12"/>
      <sheetName val="ALC_New7"/>
      <sheetName val="Balance_comparative_(2)13"/>
      <sheetName val="ALC_New8"/>
      <sheetName val="Balance_comparative_(2)14"/>
      <sheetName val="ALC_New9"/>
      <sheetName val="Balance_comparative_(2)15"/>
      <sheetName val="ALC_New10"/>
      <sheetName val="ASDA"/>
      <sheetName val="Ecritures DET"/>
      <sheetName val="Balance_comparative_(2)16"/>
      <sheetName val="ALC_New11"/>
      <sheetName val="ETAT_ACC42"/>
      <sheetName val="res_auto42"/>
      <sheetName val="Affectation_Etat_de_flux42"/>
      <sheetName val="ETAT_ACC43"/>
      <sheetName val="res_auto43"/>
      <sheetName val="Affectation_Etat_de_flux43"/>
      <sheetName val="ETAT_ACC44"/>
      <sheetName val="res_auto44"/>
      <sheetName val="Affectation_Etat_de_flux44"/>
      <sheetName val="ETAT_ACC45"/>
      <sheetName val="res_auto45"/>
      <sheetName val="Affectation_Etat_de_flux45"/>
      <sheetName val="ETAT_ACC46"/>
      <sheetName val="res_auto46"/>
      <sheetName val="Affectation_Etat_de_flux46"/>
      <sheetName val="ETAT_ACC47"/>
      <sheetName val="res_auto47"/>
      <sheetName val="Affectation_Etat_de_flux47"/>
      <sheetName val="ETAT_ACC50"/>
      <sheetName val="res_auto50"/>
      <sheetName val="Affectation_Etat_de_flux50"/>
      <sheetName val="ALC_New13"/>
      <sheetName val="ETAT_ACC48"/>
      <sheetName val="res_auto48"/>
      <sheetName val="Affectation_Etat_de_flux48"/>
      <sheetName val="ETAT_ACC49"/>
      <sheetName val="res_auto49"/>
      <sheetName val="Affectation_Etat_de_flux49"/>
      <sheetName val="ALC_New12"/>
      <sheetName val="ETAT_ACC51"/>
      <sheetName val="res_auto51"/>
      <sheetName val="Affectation_Etat_de_flux51"/>
      <sheetName val="Balance_comparative_(2)17"/>
      <sheetName val="ALC_New14"/>
      <sheetName val="ETAT_ACC52"/>
      <sheetName val="res_auto52"/>
      <sheetName val="Affectation_Etat_de_flux52"/>
      <sheetName val="Balance_comparative_(2)18"/>
      <sheetName val="ALC_New15"/>
    </sheetNames>
    <sheetDataSet>
      <sheetData sheetId="0">
        <row r="1">
          <cell r="A1" t="e">
            <v>#N/A</v>
          </cell>
        </row>
      </sheetData>
      <sheetData sheetId="1" refreshError="1"/>
      <sheetData sheetId="2">
        <row r="1">
          <cell r="A1" t="e">
            <v>#N/A</v>
          </cell>
        </row>
      </sheetData>
      <sheetData sheetId="3">
        <row r="1">
          <cell r="A1" t="e">
            <v>#N/A</v>
          </cell>
        </row>
      </sheetData>
      <sheetData sheetId="4">
        <row r="1">
          <cell r="A1" t="e">
            <v>#N/A</v>
          </cell>
        </row>
      </sheetData>
      <sheetData sheetId="5">
        <row r="5">
          <cell r="B5" t="str">
            <v>06/1997</v>
          </cell>
        </row>
      </sheetData>
      <sheetData sheetId="6">
        <row r="1">
          <cell r="A1" t="e">
            <v>#N/A</v>
          </cell>
        </row>
      </sheetData>
      <sheetData sheetId="7">
        <row r="1">
          <cell r="A1" t="e">
            <v>#N/A</v>
          </cell>
        </row>
      </sheetData>
      <sheetData sheetId="8">
        <row r="1">
          <cell r="A1" t="e">
            <v>#N/A</v>
          </cell>
        </row>
      </sheetData>
      <sheetData sheetId="9">
        <row r="1">
          <cell r="A1" t="e">
            <v>#N/A</v>
          </cell>
        </row>
      </sheetData>
      <sheetData sheetId="10" refreshError="1">
        <row r="1">
          <cell r="A1" t="e">
            <v>#N/A</v>
          </cell>
        </row>
        <row r="8">
          <cell r="F8">
            <v>1</v>
          </cell>
          <cell r="G8">
            <v>2</v>
          </cell>
        </row>
      </sheetData>
      <sheetData sheetId="11">
        <row r="1">
          <cell r="A1" t="e">
            <v>#N/A</v>
          </cell>
        </row>
      </sheetData>
      <sheetData sheetId="12">
        <row r="1">
          <cell r="A1" t="e">
            <v>#N/A</v>
          </cell>
        </row>
      </sheetData>
      <sheetData sheetId="13">
        <row r="1">
          <cell r="A1" t="e">
            <v>#N/A</v>
          </cell>
        </row>
      </sheetData>
      <sheetData sheetId="14">
        <row r="1">
          <cell r="A1" t="e">
            <v>#N/A</v>
          </cell>
        </row>
      </sheetData>
      <sheetData sheetId="15"/>
      <sheetData sheetId="16">
        <row r="1">
          <cell r="A1" t="e">
            <v>#N/A</v>
          </cell>
        </row>
      </sheetData>
      <sheetData sheetId="17">
        <row r="1">
          <cell r="A1" t="e">
            <v>#N/A</v>
          </cell>
        </row>
      </sheetData>
      <sheetData sheetId="18" refreshError="1">
        <row r="1">
          <cell r="A1" t="e">
            <v>#N/A</v>
          </cell>
        </row>
        <row r="5">
          <cell r="B5" t="str">
            <v>06/1997</v>
          </cell>
        </row>
      </sheetData>
      <sheetData sheetId="19">
        <row r="1">
          <cell r="A1" t="e">
            <v>#N/A</v>
          </cell>
        </row>
      </sheetData>
      <sheetData sheetId="20" refreshError="1">
        <row r="1">
          <cell r="A1" t="e">
            <v>#N/A</v>
          </cell>
        </row>
        <row r="3">
          <cell r="A3" t="str">
            <v>Tableau de passage des charges par detination aux charges par nature</v>
          </cell>
        </row>
        <row r="4">
          <cell r="A4" t="str">
            <v xml:space="preserve"> (Exprimé en dinars)</v>
          </cell>
        </row>
        <row r="9">
          <cell r="A9" t="str">
            <v>NUMERO</v>
          </cell>
        </row>
        <row r="10">
          <cell r="A10" t="str">
            <v>DES</v>
          </cell>
        </row>
        <row r="11">
          <cell r="A11" t="str">
            <v>COMPTES</v>
          </cell>
        </row>
        <row r="12">
          <cell r="A12" t="str">
            <v>101100</v>
          </cell>
        </row>
        <row r="13">
          <cell r="A13" t="str">
            <v>101200</v>
          </cell>
        </row>
        <row r="14">
          <cell r="A14" t="str">
            <v>101310</v>
          </cell>
        </row>
        <row r="15">
          <cell r="A15" t="str">
            <v>101320</v>
          </cell>
        </row>
        <row r="16">
          <cell r="A16" t="str">
            <v>101800</v>
          </cell>
        </row>
        <row r="17">
          <cell r="A17" t="str">
            <v>105000</v>
          </cell>
        </row>
        <row r="18">
          <cell r="A18" t="str">
            <v>108000</v>
          </cell>
        </row>
        <row r="19">
          <cell r="A19" t="str">
            <v>109000</v>
          </cell>
        </row>
        <row r="20">
          <cell r="A20" t="str">
            <v>111000</v>
          </cell>
        </row>
        <row r="21">
          <cell r="A21" t="str">
            <v>112000</v>
          </cell>
        </row>
        <row r="22">
          <cell r="A22" t="str">
            <v>117100</v>
          </cell>
        </row>
        <row r="23">
          <cell r="A23" t="str">
            <v>117200</v>
          </cell>
        </row>
        <row r="24">
          <cell r="A24" t="str">
            <v>117300</v>
          </cell>
        </row>
        <row r="25">
          <cell r="A25" t="str">
            <v>117400</v>
          </cell>
        </row>
        <row r="26">
          <cell r="A26" t="str">
            <v>117800</v>
          </cell>
        </row>
        <row r="27">
          <cell r="A27" t="str">
            <v>118100</v>
          </cell>
        </row>
        <row r="28">
          <cell r="A28" t="str">
            <v>119000</v>
          </cell>
        </row>
        <row r="29">
          <cell r="A29" t="str">
            <v>121000</v>
          </cell>
        </row>
        <row r="30">
          <cell r="A30" t="str">
            <v>128000</v>
          </cell>
        </row>
        <row r="31">
          <cell r="A31" t="str">
            <v>131000</v>
          </cell>
        </row>
        <row r="32">
          <cell r="A32" t="str">
            <v>135000</v>
          </cell>
        </row>
        <row r="33">
          <cell r="A33" t="str">
            <v>141000</v>
          </cell>
        </row>
        <row r="34">
          <cell r="A34" t="str">
            <v>142100</v>
          </cell>
        </row>
        <row r="35">
          <cell r="A35" t="str">
            <v>143000</v>
          </cell>
        </row>
        <row r="36">
          <cell r="A36" t="str">
            <v>144000</v>
          </cell>
        </row>
        <row r="37">
          <cell r="A37" t="str">
            <v>145100</v>
          </cell>
        </row>
        <row r="38">
          <cell r="A38" t="str">
            <v>145800</v>
          </cell>
        </row>
        <row r="39">
          <cell r="A39" t="str">
            <v>145900</v>
          </cell>
        </row>
        <row r="40">
          <cell r="A40" t="str">
            <v>147000</v>
          </cell>
        </row>
        <row r="41">
          <cell r="A41" t="str">
            <v>151100</v>
          </cell>
        </row>
        <row r="42">
          <cell r="A42" t="str">
            <v>151200</v>
          </cell>
        </row>
        <row r="43">
          <cell r="A43" t="str">
            <v>151300</v>
          </cell>
        </row>
        <row r="44">
          <cell r="A44" t="str">
            <v>151400</v>
          </cell>
        </row>
        <row r="45">
          <cell r="A45" t="str">
            <v>151500</v>
          </cell>
        </row>
        <row r="46">
          <cell r="A46" t="str">
            <v>151800</v>
          </cell>
        </row>
        <row r="47">
          <cell r="A47" t="str">
            <v>152200</v>
          </cell>
        </row>
        <row r="48">
          <cell r="A48" t="str">
            <v>153000</v>
          </cell>
        </row>
        <row r="49">
          <cell r="A49" t="str">
            <v>154000</v>
          </cell>
        </row>
        <row r="50">
          <cell r="A50" t="str">
            <v>155000</v>
          </cell>
        </row>
        <row r="51">
          <cell r="A51" t="str">
            <v>156000</v>
          </cell>
        </row>
        <row r="52">
          <cell r="A52" t="str">
            <v>157000</v>
          </cell>
        </row>
        <row r="53">
          <cell r="A53" t="str">
            <v>158000</v>
          </cell>
        </row>
        <row r="54">
          <cell r="A54" t="str">
            <v>161100</v>
          </cell>
        </row>
        <row r="55">
          <cell r="A55" t="str">
            <v>161800</v>
          </cell>
        </row>
        <row r="56">
          <cell r="A56" t="str">
            <v>162100</v>
          </cell>
        </row>
        <row r="57">
          <cell r="A57" t="str">
            <v>162600</v>
          </cell>
        </row>
        <row r="58">
          <cell r="A58" t="str">
            <v>163000</v>
          </cell>
        </row>
        <row r="59">
          <cell r="A59" t="str">
            <v>164100</v>
          </cell>
        </row>
        <row r="60">
          <cell r="A60" t="str">
            <v>164200</v>
          </cell>
        </row>
        <row r="61">
          <cell r="A61" t="str">
            <v>164400</v>
          </cell>
        </row>
        <row r="62">
          <cell r="A62" t="str">
            <v>165000</v>
          </cell>
        </row>
        <row r="63">
          <cell r="A63" t="str">
            <v>166100</v>
          </cell>
        </row>
        <row r="64">
          <cell r="A64" t="str">
            <v>166200</v>
          </cell>
        </row>
        <row r="65">
          <cell r="A65" t="str">
            <v>166300</v>
          </cell>
        </row>
        <row r="66">
          <cell r="A66" t="str">
            <v>167000</v>
          </cell>
        </row>
        <row r="67">
          <cell r="A67" t="str">
            <v>168100</v>
          </cell>
        </row>
        <row r="68">
          <cell r="A68" t="str">
            <v>168500</v>
          </cell>
        </row>
        <row r="69">
          <cell r="A69" t="str">
            <v>168800</v>
          </cell>
        </row>
        <row r="70">
          <cell r="A70" t="str">
            <v>171000</v>
          </cell>
        </row>
        <row r="71">
          <cell r="A71" t="str">
            <v>176000</v>
          </cell>
        </row>
        <row r="72">
          <cell r="A72" t="str">
            <v>177000</v>
          </cell>
        </row>
        <row r="73">
          <cell r="A73" t="str">
            <v>185000</v>
          </cell>
        </row>
        <row r="74">
          <cell r="A74" t="str">
            <v>188000</v>
          </cell>
        </row>
        <row r="75">
          <cell r="A75" t="str">
            <v>211000</v>
          </cell>
        </row>
        <row r="76">
          <cell r="A76" t="str">
            <v>212000</v>
          </cell>
        </row>
        <row r="77">
          <cell r="A77" t="str">
            <v>213000</v>
          </cell>
        </row>
        <row r="78">
          <cell r="A78" t="str">
            <v>214000</v>
          </cell>
        </row>
        <row r="79">
          <cell r="A79" t="str">
            <v>216000</v>
          </cell>
        </row>
        <row r="80">
          <cell r="A80" t="str">
            <v>218000</v>
          </cell>
        </row>
        <row r="81">
          <cell r="A81" t="str">
            <v>221300</v>
          </cell>
        </row>
        <row r="82">
          <cell r="A82" t="str">
            <v>221400</v>
          </cell>
        </row>
        <row r="83">
          <cell r="A83" t="str">
            <v>221500</v>
          </cell>
        </row>
        <row r="84">
          <cell r="A84" t="str">
            <v>221600</v>
          </cell>
        </row>
        <row r="85">
          <cell r="A85" t="str">
            <v>222100</v>
          </cell>
        </row>
        <row r="86">
          <cell r="A86" t="str">
            <v>222500</v>
          </cell>
        </row>
        <row r="87">
          <cell r="A87" t="str">
            <v>222600</v>
          </cell>
        </row>
        <row r="88">
          <cell r="A88" t="str">
            <v>222700</v>
          </cell>
        </row>
        <row r="89">
          <cell r="A89" t="str">
            <v>223100</v>
          </cell>
        </row>
        <row r="90">
          <cell r="A90" t="str">
            <v>223400</v>
          </cell>
        </row>
        <row r="91">
          <cell r="A91" t="str">
            <v>223500</v>
          </cell>
        </row>
        <row r="92">
          <cell r="A92" t="str">
            <v>223700</v>
          </cell>
        </row>
        <row r="93">
          <cell r="A93" t="str">
            <v>224100</v>
          </cell>
        </row>
        <row r="94">
          <cell r="A94" t="str">
            <v>224400</v>
          </cell>
        </row>
        <row r="95">
          <cell r="A95" t="str">
            <v>228100</v>
          </cell>
        </row>
        <row r="96">
          <cell r="A96" t="str">
            <v>228200</v>
          </cell>
        </row>
        <row r="97">
          <cell r="A97" t="str">
            <v>228600</v>
          </cell>
        </row>
        <row r="98">
          <cell r="A98" t="str">
            <v>231000</v>
          </cell>
        </row>
        <row r="99">
          <cell r="A99" t="str">
            <v>232000</v>
          </cell>
        </row>
        <row r="100">
          <cell r="A100" t="str">
            <v>237000</v>
          </cell>
        </row>
        <row r="101">
          <cell r="A101" t="str">
            <v>238000</v>
          </cell>
        </row>
        <row r="102">
          <cell r="A102" t="str">
            <v>240000</v>
          </cell>
        </row>
        <row r="103">
          <cell r="A103" t="str">
            <v>251100</v>
          </cell>
        </row>
        <row r="104">
          <cell r="A104" t="str">
            <v>251800</v>
          </cell>
        </row>
        <row r="105">
          <cell r="A105" t="str">
            <v>256000</v>
          </cell>
        </row>
        <row r="106">
          <cell r="A106" t="str">
            <v>257100</v>
          </cell>
        </row>
        <row r="107">
          <cell r="A107" t="str">
            <v>257400</v>
          </cell>
        </row>
        <row r="108">
          <cell r="A108" t="str">
            <v>257500</v>
          </cell>
        </row>
        <row r="109">
          <cell r="A109" t="str">
            <v>257600</v>
          </cell>
        </row>
        <row r="110">
          <cell r="A110" t="str">
            <v>257700</v>
          </cell>
        </row>
        <row r="111">
          <cell r="A111" t="str">
            <v>258000</v>
          </cell>
        </row>
        <row r="112">
          <cell r="A112" t="str">
            <v>259000</v>
          </cell>
        </row>
        <row r="113">
          <cell r="A113" t="str">
            <v>261100</v>
          </cell>
        </row>
        <row r="114">
          <cell r="A114" t="str">
            <v>261800</v>
          </cell>
        </row>
        <row r="115">
          <cell r="A115" t="str">
            <v>262100</v>
          </cell>
        </row>
        <row r="116">
          <cell r="A116" t="str">
            <v>262200</v>
          </cell>
        </row>
        <row r="117">
          <cell r="A117" t="str">
            <v>264100</v>
          </cell>
        </row>
        <row r="118">
          <cell r="A118" t="str">
            <v>264200</v>
          </cell>
        </row>
        <row r="119">
          <cell r="A119" t="str">
            <v>264300</v>
          </cell>
        </row>
        <row r="120">
          <cell r="A120" t="str">
            <v>264500</v>
          </cell>
        </row>
        <row r="121">
          <cell r="A121" t="str">
            <v>264800</v>
          </cell>
        </row>
        <row r="122">
          <cell r="A122" t="str">
            <v>265100</v>
          </cell>
        </row>
        <row r="123">
          <cell r="A123" t="str">
            <v>265500</v>
          </cell>
        </row>
        <row r="124">
          <cell r="A124" t="str">
            <v>265600</v>
          </cell>
        </row>
        <row r="125">
          <cell r="A125" t="str">
            <v>265800</v>
          </cell>
        </row>
        <row r="126">
          <cell r="A126" t="str">
            <v>266100</v>
          </cell>
        </row>
        <row r="127">
          <cell r="A127" t="str">
            <v>266700</v>
          </cell>
        </row>
        <row r="128">
          <cell r="A128" t="str">
            <v>266800</v>
          </cell>
        </row>
        <row r="129">
          <cell r="A129" t="str">
            <v>269000</v>
          </cell>
        </row>
        <row r="130">
          <cell r="A130" t="str">
            <v>271000</v>
          </cell>
        </row>
        <row r="131">
          <cell r="A131" t="str">
            <v>272000</v>
          </cell>
        </row>
        <row r="132">
          <cell r="A132" t="str">
            <v>273000</v>
          </cell>
        </row>
        <row r="133">
          <cell r="A133" t="str">
            <v>275000</v>
          </cell>
        </row>
        <row r="134">
          <cell r="A134" t="str">
            <v>278000</v>
          </cell>
        </row>
        <row r="135">
          <cell r="A135" t="str">
            <v>281000</v>
          </cell>
        </row>
        <row r="136">
          <cell r="A136" t="str">
            <v>282000</v>
          </cell>
        </row>
        <row r="137">
          <cell r="A137" t="str">
            <v>284000</v>
          </cell>
        </row>
        <row r="138">
          <cell r="A138" t="str">
            <v>291000</v>
          </cell>
        </row>
        <row r="139">
          <cell r="A139" t="str">
            <v>292000</v>
          </cell>
        </row>
        <row r="140">
          <cell r="A140" t="str">
            <v>293000</v>
          </cell>
        </row>
        <row r="141">
          <cell r="A141" t="str">
            <v>294000</v>
          </cell>
        </row>
        <row r="142">
          <cell r="A142" t="str">
            <v>295000</v>
          </cell>
        </row>
        <row r="143">
          <cell r="A143" t="str">
            <v>297000</v>
          </cell>
        </row>
        <row r="144">
          <cell r="A144" t="str">
            <v>311000</v>
          </cell>
        </row>
        <row r="145">
          <cell r="A145" t="str">
            <v>313000</v>
          </cell>
        </row>
        <row r="146">
          <cell r="A146" t="str">
            <v>317000</v>
          </cell>
        </row>
        <row r="147">
          <cell r="A147" t="str">
            <v>321000</v>
          </cell>
        </row>
        <row r="148">
          <cell r="A148" t="str">
            <v>322000</v>
          </cell>
        </row>
        <row r="149">
          <cell r="A149" t="str">
            <v>326000</v>
          </cell>
        </row>
        <row r="150">
          <cell r="A150" t="str">
            <v>327000</v>
          </cell>
        </row>
        <row r="151">
          <cell r="A151" t="str">
            <v>331000</v>
          </cell>
        </row>
        <row r="152">
          <cell r="A152" t="str">
            <v>335000</v>
          </cell>
        </row>
        <row r="153">
          <cell r="A153" t="str">
            <v>341000</v>
          </cell>
        </row>
        <row r="154">
          <cell r="A154" t="str">
            <v>345000</v>
          </cell>
        </row>
        <row r="155">
          <cell r="A155" t="str">
            <v>351000</v>
          </cell>
        </row>
        <row r="156">
          <cell r="A156" t="str">
            <v>355000</v>
          </cell>
        </row>
        <row r="157">
          <cell r="A157" t="str">
            <v>357000</v>
          </cell>
        </row>
        <row r="158">
          <cell r="A158" t="str">
            <v>370000</v>
          </cell>
        </row>
        <row r="159">
          <cell r="A159" t="str">
            <v>390000</v>
          </cell>
        </row>
        <row r="160">
          <cell r="A160" t="str">
            <v>401100</v>
          </cell>
        </row>
        <row r="161">
          <cell r="A161" t="str">
            <v>401700</v>
          </cell>
        </row>
        <row r="162">
          <cell r="A162" t="str">
            <v>403000</v>
          </cell>
        </row>
        <row r="163">
          <cell r="A163" t="str">
            <v>404100</v>
          </cell>
        </row>
        <row r="164">
          <cell r="A164" t="str">
            <v>404700</v>
          </cell>
        </row>
        <row r="165">
          <cell r="A165" t="str">
            <v>405000</v>
          </cell>
        </row>
        <row r="166">
          <cell r="A166" t="str">
            <v>408100</v>
          </cell>
        </row>
        <row r="167">
          <cell r="A167" t="str">
            <v>408400</v>
          </cell>
        </row>
        <row r="168">
          <cell r="A168" t="str">
            <v>408800</v>
          </cell>
        </row>
        <row r="169">
          <cell r="A169" t="str">
            <v>409100</v>
          </cell>
        </row>
        <row r="170">
          <cell r="A170" t="str">
            <v>409600</v>
          </cell>
        </row>
        <row r="171">
          <cell r="A171" t="str">
            <v>409710</v>
          </cell>
        </row>
        <row r="172">
          <cell r="A172" t="str">
            <v>409740</v>
          </cell>
        </row>
        <row r="173">
          <cell r="A173" t="str">
            <v>409800</v>
          </cell>
        </row>
        <row r="174">
          <cell r="A174" t="str">
            <v>411100</v>
          </cell>
        </row>
        <row r="175">
          <cell r="A175" t="str">
            <v>411700</v>
          </cell>
        </row>
        <row r="176">
          <cell r="A176" t="str">
            <v>413000</v>
          </cell>
        </row>
        <row r="177">
          <cell r="A177" t="str">
            <v>416000</v>
          </cell>
        </row>
        <row r="178">
          <cell r="A178" t="str">
            <v>417000</v>
          </cell>
        </row>
        <row r="179">
          <cell r="A179" t="str">
            <v>418100</v>
          </cell>
        </row>
        <row r="180">
          <cell r="A180" t="str">
            <v>418800</v>
          </cell>
        </row>
        <row r="181">
          <cell r="A181" t="str">
            <v>419100</v>
          </cell>
        </row>
        <row r="182">
          <cell r="A182" t="str">
            <v>419600</v>
          </cell>
        </row>
        <row r="183">
          <cell r="A183" t="str">
            <v>419700</v>
          </cell>
        </row>
        <row r="184">
          <cell r="A184" t="str">
            <v>419800</v>
          </cell>
        </row>
        <row r="185">
          <cell r="A185" t="str">
            <v>421000</v>
          </cell>
        </row>
        <row r="186">
          <cell r="A186" t="str">
            <v>422000</v>
          </cell>
        </row>
        <row r="187">
          <cell r="A187" t="str">
            <v>423000</v>
          </cell>
        </row>
        <row r="188">
          <cell r="A188" t="str">
            <v>425000</v>
          </cell>
        </row>
        <row r="189">
          <cell r="A189" t="str">
            <v>426000</v>
          </cell>
        </row>
        <row r="190">
          <cell r="A190" t="str">
            <v>427000</v>
          </cell>
        </row>
        <row r="191">
          <cell r="A191" t="str">
            <v>428200</v>
          </cell>
        </row>
        <row r="192">
          <cell r="A192" t="str">
            <v>428600</v>
          </cell>
        </row>
        <row r="193">
          <cell r="A193" t="str">
            <v>428700</v>
          </cell>
        </row>
        <row r="194">
          <cell r="A194" t="str">
            <v>431000</v>
          </cell>
        </row>
        <row r="195">
          <cell r="A195" t="str">
            <v>432000</v>
          </cell>
        </row>
        <row r="196">
          <cell r="A196" t="str">
            <v>433000</v>
          </cell>
        </row>
        <row r="197">
          <cell r="A197" t="str">
            <v>434100</v>
          </cell>
        </row>
        <row r="198">
          <cell r="A198" t="str">
            <v>434200</v>
          </cell>
        </row>
        <row r="199">
          <cell r="A199" t="str">
            <v>434300</v>
          </cell>
        </row>
        <row r="200">
          <cell r="A200" t="str">
            <v>434900</v>
          </cell>
        </row>
        <row r="201">
          <cell r="A201" t="str">
            <v>435000</v>
          </cell>
        </row>
        <row r="202">
          <cell r="A202" t="str">
            <v>436510</v>
          </cell>
        </row>
        <row r="203">
          <cell r="A203" t="str">
            <v>436580</v>
          </cell>
        </row>
        <row r="204">
          <cell r="A204" t="str">
            <v>436620</v>
          </cell>
        </row>
        <row r="205">
          <cell r="A205" t="str">
            <v>436630</v>
          </cell>
        </row>
        <row r="206">
          <cell r="A206" t="str">
            <v>436660</v>
          </cell>
        </row>
        <row r="207">
          <cell r="A207" t="str">
            <v>436670</v>
          </cell>
        </row>
        <row r="208">
          <cell r="A208" t="str">
            <v>436680</v>
          </cell>
        </row>
        <row r="209">
          <cell r="A209" t="str">
            <v>436711</v>
          </cell>
        </row>
        <row r="210">
          <cell r="A210" t="str">
            <v>436712</v>
          </cell>
        </row>
        <row r="211">
          <cell r="A211" t="str">
            <v>436780</v>
          </cell>
        </row>
        <row r="212">
          <cell r="A212" t="str">
            <v>436800</v>
          </cell>
        </row>
        <row r="213">
          <cell r="A213" t="str">
            <v>437000</v>
          </cell>
        </row>
        <row r="214">
          <cell r="A214" t="str">
            <v>438200</v>
          </cell>
        </row>
        <row r="215">
          <cell r="A215" t="str">
            <v>438600</v>
          </cell>
        </row>
        <row r="216">
          <cell r="A216" t="str">
            <v>438700</v>
          </cell>
        </row>
        <row r="217">
          <cell r="A217" t="str">
            <v>441100</v>
          </cell>
        </row>
        <row r="218">
          <cell r="A218" t="str">
            <v>441200</v>
          </cell>
        </row>
        <row r="219">
          <cell r="A219" t="str">
            <v>442100</v>
          </cell>
        </row>
        <row r="220">
          <cell r="A220" t="str">
            <v>442800</v>
          </cell>
        </row>
        <row r="221">
          <cell r="A221" t="str">
            <v>446000</v>
          </cell>
        </row>
        <row r="222">
          <cell r="A222" t="str">
            <v>447000</v>
          </cell>
        </row>
        <row r="223">
          <cell r="A223" t="str">
            <v>448100</v>
          </cell>
        </row>
        <row r="224">
          <cell r="A224" t="str">
            <v>448800</v>
          </cell>
        </row>
        <row r="225">
          <cell r="A225" t="str">
            <v>452000</v>
          </cell>
        </row>
        <row r="226">
          <cell r="A226" t="str">
            <v>453110</v>
          </cell>
        </row>
        <row r="227">
          <cell r="A227" t="str">
            <v>453180</v>
          </cell>
        </row>
        <row r="228">
          <cell r="A228" t="str">
            <v>453820</v>
          </cell>
        </row>
        <row r="229">
          <cell r="A229" t="str">
            <v>453860</v>
          </cell>
        </row>
        <row r="230">
          <cell r="A230" t="str">
            <v>453870</v>
          </cell>
        </row>
        <row r="231">
          <cell r="A231" t="str">
            <v>454000</v>
          </cell>
        </row>
        <row r="232">
          <cell r="A232" t="str">
            <v>455000</v>
          </cell>
        </row>
        <row r="233">
          <cell r="A233" t="str">
            <v>457000</v>
          </cell>
        </row>
        <row r="234">
          <cell r="A234" t="str">
            <v>458600</v>
          </cell>
        </row>
        <row r="235">
          <cell r="A235" t="str">
            <v>458700</v>
          </cell>
        </row>
        <row r="236">
          <cell r="A236" t="str">
            <v>461000</v>
          </cell>
        </row>
        <row r="237">
          <cell r="A237" t="str">
            <v>465100</v>
          </cell>
        </row>
        <row r="238">
          <cell r="A238" t="str">
            <v>465200</v>
          </cell>
        </row>
        <row r="239">
          <cell r="A239" t="str">
            <v>468000</v>
          </cell>
        </row>
        <row r="240">
          <cell r="A240" t="str">
            <v>471000</v>
          </cell>
        </row>
        <row r="241">
          <cell r="A241" t="str">
            <v>472000</v>
          </cell>
        </row>
        <row r="242">
          <cell r="A242" t="str">
            <v>478600</v>
          </cell>
        </row>
        <row r="243">
          <cell r="A243" t="str">
            <v>478700</v>
          </cell>
        </row>
        <row r="244">
          <cell r="A244" t="str">
            <v>480000</v>
          </cell>
        </row>
        <row r="245">
          <cell r="A245" t="str">
            <v>491000</v>
          </cell>
        </row>
        <row r="246">
          <cell r="A246" t="str">
            <v>495100</v>
          </cell>
        </row>
        <row r="247">
          <cell r="A247" t="str">
            <v>495200</v>
          </cell>
        </row>
        <row r="248">
          <cell r="A248" t="str">
            <v>495800</v>
          </cell>
        </row>
        <row r="249">
          <cell r="A249" t="str">
            <v>496200</v>
          </cell>
        </row>
        <row r="250">
          <cell r="A250" t="str">
            <v>496500</v>
          </cell>
        </row>
        <row r="251">
          <cell r="A251" t="str">
            <v>496700</v>
          </cell>
        </row>
        <row r="252">
          <cell r="A252" t="str">
            <v>501000</v>
          </cell>
        </row>
        <row r="253">
          <cell r="A253" t="str">
            <v>505000</v>
          </cell>
        </row>
        <row r="254">
          <cell r="A254" t="str">
            <v>506100</v>
          </cell>
        </row>
        <row r="255">
          <cell r="A255" t="str">
            <v>506300</v>
          </cell>
        </row>
        <row r="256">
          <cell r="A256" t="str">
            <v>506700</v>
          </cell>
        </row>
        <row r="257">
          <cell r="A257" t="str">
            <v>507000</v>
          </cell>
        </row>
        <row r="258">
          <cell r="A258" t="str">
            <v>508000</v>
          </cell>
        </row>
        <row r="259">
          <cell r="A259" t="str">
            <v>511000</v>
          </cell>
        </row>
        <row r="260">
          <cell r="A260" t="str">
            <v>516000</v>
          </cell>
        </row>
        <row r="261">
          <cell r="A261" t="str">
            <v>517000</v>
          </cell>
        </row>
        <row r="262">
          <cell r="A262" t="str">
            <v>518000</v>
          </cell>
        </row>
        <row r="263">
          <cell r="A263" t="str">
            <v>523100</v>
          </cell>
        </row>
        <row r="264">
          <cell r="A264" t="str">
            <v>523500</v>
          </cell>
        </row>
        <row r="265">
          <cell r="A265" t="str">
            <v>524000</v>
          </cell>
        </row>
        <row r="266">
          <cell r="A266" t="str">
            <v>525000</v>
          </cell>
        </row>
        <row r="267">
          <cell r="A267" t="str">
            <v>526100</v>
          </cell>
        </row>
        <row r="268">
          <cell r="A268" t="str">
            <v>526500</v>
          </cell>
        </row>
        <row r="269">
          <cell r="A269" t="str">
            <v>526600</v>
          </cell>
        </row>
        <row r="270">
          <cell r="A270" t="str">
            <v>527000</v>
          </cell>
        </row>
        <row r="271">
          <cell r="A271" t="str">
            <v>528100</v>
          </cell>
        </row>
        <row r="272">
          <cell r="A272" t="str">
            <v>528800</v>
          </cell>
        </row>
        <row r="273">
          <cell r="A273" t="str">
            <v>529000</v>
          </cell>
        </row>
        <row r="274">
          <cell r="A274" t="str">
            <v>531100</v>
          </cell>
        </row>
        <row r="275">
          <cell r="A275" t="str">
            <v>531200</v>
          </cell>
        </row>
        <row r="276">
          <cell r="A276" t="str">
            <v>531300</v>
          </cell>
        </row>
        <row r="277">
          <cell r="A277" t="str">
            <v>531400</v>
          </cell>
        </row>
        <row r="278">
          <cell r="A278" t="str">
            <v>532100</v>
          </cell>
        </row>
        <row r="279">
          <cell r="A279" t="str">
            <v>532400</v>
          </cell>
        </row>
        <row r="280">
          <cell r="A280" t="str">
            <v>534000</v>
          </cell>
        </row>
        <row r="281">
          <cell r="A281" t="str">
            <v>535000</v>
          </cell>
        </row>
        <row r="282">
          <cell r="A282" t="str">
            <v>537000</v>
          </cell>
        </row>
        <row r="283">
          <cell r="A283" t="str">
            <v>541100</v>
          </cell>
        </row>
        <row r="284">
          <cell r="A284" t="str">
            <v>541400</v>
          </cell>
        </row>
        <row r="285">
          <cell r="A285" t="str">
            <v>542000</v>
          </cell>
        </row>
        <row r="286">
          <cell r="A286" t="str">
            <v>550000</v>
          </cell>
        </row>
        <row r="287">
          <cell r="A287" t="str">
            <v>580000</v>
          </cell>
        </row>
        <row r="288">
          <cell r="A288" t="str">
            <v>590000</v>
          </cell>
        </row>
        <row r="289">
          <cell r="A289" t="str">
            <v>601000</v>
          </cell>
        </row>
        <row r="290">
          <cell r="A290" t="str">
            <v>602100</v>
          </cell>
        </row>
        <row r="291">
          <cell r="A291" t="str">
            <v>602200</v>
          </cell>
        </row>
        <row r="292">
          <cell r="A292" t="str">
            <v>602600</v>
          </cell>
        </row>
        <row r="293">
          <cell r="A293" t="str">
            <v>603100</v>
          </cell>
        </row>
        <row r="294">
          <cell r="A294" t="str">
            <v>603200</v>
          </cell>
        </row>
        <row r="295">
          <cell r="A295" t="str">
            <v>603700</v>
          </cell>
        </row>
        <row r="296">
          <cell r="A296" t="str">
            <v>604000</v>
          </cell>
        </row>
        <row r="297">
          <cell r="A297" t="str">
            <v>605000</v>
          </cell>
        </row>
        <row r="298">
          <cell r="A298" t="str">
            <v>606000</v>
          </cell>
        </row>
        <row r="299">
          <cell r="A299" t="str">
            <v>607000</v>
          </cell>
        </row>
        <row r="300">
          <cell r="A300" t="str">
            <v>608000</v>
          </cell>
        </row>
        <row r="301">
          <cell r="A301" t="str">
            <v>609800</v>
          </cell>
        </row>
        <row r="302">
          <cell r="A302" t="str">
            <v>611000</v>
          </cell>
        </row>
        <row r="303">
          <cell r="A303" t="str">
            <v>612000</v>
          </cell>
        </row>
        <row r="304">
          <cell r="A304" t="str">
            <v>613000</v>
          </cell>
        </row>
        <row r="305">
          <cell r="A305" t="str">
            <v>614000</v>
          </cell>
        </row>
        <row r="306">
          <cell r="A306" t="str">
            <v>615000</v>
          </cell>
        </row>
        <row r="307">
          <cell r="A307" t="str">
            <v>616000</v>
          </cell>
        </row>
        <row r="308">
          <cell r="A308" t="str">
            <v>617000</v>
          </cell>
        </row>
        <row r="309">
          <cell r="A309" t="str">
            <v>618000</v>
          </cell>
        </row>
        <row r="310">
          <cell r="A310" t="str">
            <v>619000</v>
          </cell>
        </row>
        <row r="311">
          <cell r="A311" t="str">
            <v>621000</v>
          </cell>
        </row>
        <row r="312">
          <cell r="A312" t="str">
            <v>622000</v>
          </cell>
        </row>
        <row r="313">
          <cell r="A313" t="str">
            <v>623000</v>
          </cell>
        </row>
        <row r="314">
          <cell r="A314" t="str">
            <v>624100</v>
          </cell>
        </row>
        <row r="315">
          <cell r="A315" t="str">
            <v>624200</v>
          </cell>
        </row>
        <row r="316">
          <cell r="A316" t="str">
            <v>624400</v>
          </cell>
        </row>
        <row r="317">
          <cell r="A317" t="str">
            <v>624700</v>
          </cell>
        </row>
        <row r="318">
          <cell r="A318" t="str">
            <v>624800</v>
          </cell>
        </row>
        <row r="319">
          <cell r="A319" t="str">
            <v>625100</v>
          </cell>
        </row>
        <row r="320">
          <cell r="A320" t="str">
            <v>625500</v>
          </cell>
        </row>
        <row r="321">
          <cell r="A321" t="str">
            <v>625600</v>
          </cell>
        </row>
        <row r="322">
          <cell r="A322" t="str">
            <v>625700</v>
          </cell>
        </row>
        <row r="323">
          <cell r="A323" t="str">
            <v>626000</v>
          </cell>
        </row>
        <row r="324">
          <cell r="A324" t="str">
            <v>627100</v>
          </cell>
        </row>
        <row r="325">
          <cell r="A325" t="str">
            <v>627200</v>
          </cell>
        </row>
        <row r="326">
          <cell r="A326" t="str">
            <v>627500</v>
          </cell>
        </row>
        <row r="327">
          <cell r="A327" t="str">
            <v>627600</v>
          </cell>
        </row>
        <row r="328">
          <cell r="A328" t="str">
            <v>627800</v>
          </cell>
        </row>
        <row r="329">
          <cell r="A329" t="str">
            <v>628000</v>
          </cell>
        </row>
        <row r="330">
          <cell r="A330" t="str">
            <v>629000</v>
          </cell>
        </row>
        <row r="331">
          <cell r="A331" t="str">
            <v>631000</v>
          </cell>
        </row>
        <row r="332">
          <cell r="A332" t="str">
            <v>633000</v>
          </cell>
        </row>
        <row r="333">
          <cell r="A333" t="str">
            <v>634100</v>
          </cell>
        </row>
        <row r="334">
          <cell r="A334" t="str">
            <v>634400</v>
          </cell>
        </row>
        <row r="335">
          <cell r="A335" t="str">
            <v>635100</v>
          </cell>
        </row>
        <row r="336">
          <cell r="A336" t="str">
            <v>635500</v>
          </cell>
        </row>
        <row r="337">
          <cell r="A337" t="str">
            <v>636000</v>
          </cell>
        </row>
        <row r="338">
          <cell r="A338" t="str">
            <v>637000</v>
          </cell>
        </row>
        <row r="339">
          <cell r="A339" t="str">
            <v>638000</v>
          </cell>
        </row>
        <row r="340">
          <cell r="A340" t="str">
            <v>640000</v>
          </cell>
        </row>
        <row r="341">
          <cell r="A341" t="str">
            <v>640100</v>
          </cell>
        </row>
        <row r="342">
          <cell r="A342" t="str">
            <v>640200</v>
          </cell>
        </row>
        <row r="343">
          <cell r="A343" t="str">
            <v>640300</v>
          </cell>
        </row>
        <row r="344">
          <cell r="A344" t="str">
            <v>640400</v>
          </cell>
        </row>
        <row r="345">
          <cell r="A345" t="str">
            <v>640900</v>
          </cell>
        </row>
        <row r="346">
          <cell r="A346" t="str">
            <v>642000</v>
          </cell>
        </row>
        <row r="347">
          <cell r="A347" t="str">
            <v>642100</v>
          </cell>
        </row>
        <row r="348">
          <cell r="A348" t="str">
            <v>642200</v>
          </cell>
        </row>
        <row r="349">
          <cell r="A349" t="str">
            <v>642300</v>
          </cell>
        </row>
        <row r="350">
          <cell r="A350" t="str">
            <v>642400</v>
          </cell>
        </row>
        <row r="351">
          <cell r="A351" t="str">
            <v>642900</v>
          </cell>
        </row>
        <row r="352">
          <cell r="A352" t="str">
            <v>643000</v>
          </cell>
        </row>
        <row r="353">
          <cell r="A353" t="str">
            <v>644000</v>
          </cell>
        </row>
        <row r="354">
          <cell r="A354" t="str">
            <v>644100</v>
          </cell>
        </row>
        <row r="355">
          <cell r="A355" t="str">
            <v>645000</v>
          </cell>
        </row>
        <row r="356">
          <cell r="A356" t="str">
            <v>646000</v>
          </cell>
        </row>
        <row r="357">
          <cell r="A357" t="str">
            <v>646020</v>
          </cell>
        </row>
        <row r="358">
          <cell r="A358" t="str">
            <v>646040</v>
          </cell>
        </row>
        <row r="359">
          <cell r="A359" t="str">
            <v>646200</v>
          </cell>
        </row>
        <row r="360">
          <cell r="A360" t="str">
            <v>646220</v>
          </cell>
        </row>
        <row r="361">
          <cell r="A361" t="str">
            <v>646240</v>
          </cell>
        </row>
        <row r="362">
          <cell r="A362" t="str">
            <v>646400</v>
          </cell>
        </row>
        <row r="363">
          <cell r="A363" t="str">
            <v>646420</v>
          </cell>
        </row>
        <row r="364">
          <cell r="A364" t="str">
            <v>646440</v>
          </cell>
        </row>
        <row r="365">
          <cell r="A365" t="str">
            <v>646500</v>
          </cell>
        </row>
        <row r="366">
          <cell r="A366" t="str">
            <v>646520</v>
          </cell>
        </row>
        <row r="367">
          <cell r="A367" t="str">
            <v>646540</v>
          </cell>
        </row>
        <row r="368">
          <cell r="A368" t="str">
            <v>647000</v>
          </cell>
        </row>
        <row r="369">
          <cell r="A369" t="str">
            <v>647200</v>
          </cell>
        </row>
        <row r="370">
          <cell r="A370" t="str">
            <v>647400</v>
          </cell>
        </row>
        <row r="371">
          <cell r="A371" t="str">
            <v>647500</v>
          </cell>
        </row>
        <row r="372">
          <cell r="A372" t="str">
            <v>647600</v>
          </cell>
        </row>
        <row r="373">
          <cell r="A373" t="str">
            <v>648000</v>
          </cell>
        </row>
        <row r="374">
          <cell r="A374" t="str">
            <v>649000</v>
          </cell>
        </row>
        <row r="375">
          <cell r="A375" t="str">
            <v>649500</v>
          </cell>
        </row>
        <row r="376">
          <cell r="A376" t="str">
            <v>651160</v>
          </cell>
        </row>
        <row r="377">
          <cell r="A377" t="str">
            <v>651170</v>
          </cell>
        </row>
        <row r="378">
          <cell r="A378" t="str">
            <v>651500</v>
          </cell>
        </row>
        <row r="379">
          <cell r="A379" t="str">
            <v>651600</v>
          </cell>
        </row>
        <row r="380">
          <cell r="A380" t="str">
            <v>651700</v>
          </cell>
        </row>
        <row r="381">
          <cell r="A381" t="str">
            <v>651800</v>
          </cell>
        </row>
        <row r="382">
          <cell r="A382" t="str">
            <v>653000</v>
          </cell>
        </row>
        <row r="383">
          <cell r="A383" t="str">
            <v>654000</v>
          </cell>
        </row>
        <row r="384">
          <cell r="A384" t="str">
            <v>655000</v>
          </cell>
        </row>
        <row r="385">
          <cell r="A385" t="str">
            <v>656000</v>
          </cell>
        </row>
        <row r="386">
          <cell r="A386" t="str">
            <v>657000</v>
          </cell>
        </row>
        <row r="387">
          <cell r="A387" t="str">
            <v>658000</v>
          </cell>
        </row>
        <row r="388">
          <cell r="A388" t="str">
            <v>661100</v>
          </cell>
        </row>
        <row r="389">
          <cell r="A389" t="str">
            <v>661200</v>
          </cell>
        </row>
        <row r="390">
          <cell r="A390" t="str">
            <v>661800</v>
          </cell>
        </row>
        <row r="391">
          <cell r="A391" t="str">
            <v>665100</v>
          </cell>
        </row>
        <row r="392">
          <cell r="A392" t="str">
            <v>665200</v>
          </cell>
        </row>
        <row r="393">
          <cell r="A393" t="str">
            <v>665400</v>
          </cell>
        </row>
        <row r="394">
          <cell r="A394" t="str">
            <v>665500</v>
          </cell>
        </row>
        <row r="395">
          <cell r="A395" t="str">
            <v>665800</v>
          </cell>
        </row>
        <row r="396">
          <cell r="A396" t="str">
            <v>668000</v>
          </cell>
        </row>
        <row r="397">
          <cell r="A397" t="str">
            <v>670000</v>
          </cell>
        </row>
        <row r="398">
          <cell r="A398" t="str">
            <v>681110</v>
          </cell>
        </row>
        <row r="399">
          <cell r="A399" t="str">
            <v>681120</v>
          </cell>
        </row>
        <row r="400">
          <cell r="A400" t="str">
            <v>681200</v>
          </cell>
        </row>
        <row r="401">
          <cell r="A401" t="str">
            <v>681500</v>
          </cell>
        </row>
        <row r="402">
          <cell r="A402" t="str">
            <v>681610</v>
          </cell>
        </row>
        <row r="403">
          <cell r="A403" t="str">
            <v>681620</v>
          </cell>
        </row>
        <row r="404">
          <cell r="A404" t="str">
            <v>681730</v>
          </cell>
        </row>
        <row r="405">
          <cell r="A405" t="str">
            <v>681740</v>
          </cell>
        </row>
        <row r="406">
          <cell r="A406" t="str">
            <v>681800</v>
          </cell>
        </row>
        <row r="407">
          <cell r="A407" t="str">
            <v>686100</v>
          </cell>
        </row>
        <row r="408">
          <cell r="A408" t="str">
            <v>686500</v>
          </cell>
        </row>
        <row r="409">
          <cell r="A409" t="str">
            <v>686620</v>
          </cell>
        </row>
        <row r="410">
          <cell r="A410" t="str">
            <v>686650</v>
          </cell>
        </row>
        <row r="411">
          <cell r="A411" t="str">
            <v>686800</v>
          </cell>
        </row>
        <row r="412">
          <cell r="A412" t="str">
            <v>691000</v>
          </cell>
        </row>
        <row r="413">
          <cell r="A413" t="str">
            <v>695000</v>
          </cell>
        </row>
        <row r="414">
          <cell r="A414" t="str">
            <v>697000</v>
          </cell>
        </row>
        <row r="415">
          <cell r="A415" t="str">
            <v>701100</v>
          </cell>
        </row>
        <row r="416">
          <cell r="A416" t="str">
            <v>701200</v>
          </cell>
        </row>
        <row r="417">
          <cell r="A417" t="str">
            <v>702000</v>
          </cell>
        </row>
        <row r="418">
          <cell r="A418" t="str">
            <v>703000</v>
          </cell>
        </row>
        <row r="419">
          <cell r="A419" t="str">
            <v>704000</v>
          </cell>
        </row>
        <row r="420">
          <cell r="A420" t="str">
            <v>705000</v>
          </cell>
        </row>
        <row r="421">
          <cell r="A421" t="str">
            <v>706000</v>
          </cell>
        </row>
        <row r="422">
          <cell r="A422" t="str">
            <v>707000</v>
          </cell>
        </row>
        <row r="423">
          <cell r="A423" t="str">
            <v>708000</v>
          </cell>
        </row>
        <row r="424">
          <cell r="A424" t="str">
            <v>709100</v>
          </cell>
        </row>
        <row r="425">
          <cell r="A425" t="str">
            <v>709200</v>
          </cell>
        </row>
        <row r="426">
          <cell r="A426" t="str">
            <v>709400</v>
          </cell>
        </row>
        <row r="427">
          <cell r="A427" t="str">
            <v>709500</v>
          </cell>
        </row>
        <row r="428">
          <cell r="A428" t="str">
            <v>709600</v>
          </cell>
        </row>
        <row r="429">
          <cell r="A429" t="str">
            <v>709700</v>
          </cell>
        </row>
        <row r="430">
          <cell r="A430" t="str">
            <v>709800</v>
          </cell>
        </row>
        <row r="431">
          <cell r="A431" t="str">
            <v>713300</v>
          </cell>
        </row>
        <row r="432">
          <cell r="A432" t="str">
            <v>713400</v>
          </cell>
        </row>
        <row r="433">
          <cell r="A433" t="str">
            <v>713500</v>
          </cell>
        </row>
        <row r="434">
          <cell r="A434" t="str">
            <v>721000</v>
          </cell>
        </row>
        <row r="435">
          <cell r="A435" t="str">
            <v>722000</v>
          </cell>
        </row>
        <row r="436">
          <cell r="A436" t="str">
            <v>728000</v>
          </cell>
        </row>
        <row r="437">
          <cell r="A437" t="str">
            <v>731000</v>
          </cell>
        </row>
        <row r="438">
          <cell r="A438" t="str">
            <v>732000</v>
          </cell>
        </row>
        <row r="439">
          <cell r="A439" t="str">
            <v>733000</v>
          </cell>
        </row>
        <row r="440">
          <cell r="A440" t="str">
            <v>734000</v>
          </cell>
        </row>
        <row r="441">
          <cell r="A441" t="str">
            <v>735000</v>
          </cell>
        </row>
        <row r="442">
          <cell r="A442" t="str">
            <v>736000</v>
          </cell>
        </row>
        <row r="443">
          <cell r="A443" t="str">
            <v>738000</v>
          </cell>
        </row>
        <row r="444">
          <cell r="A444" t="str">
            <v>739000</v>
          </cell>
        </row>
        <row r="445">
          <cell r="A445" t="str">
            <v>741000</v>
          </cell>
        </row>
        <row r="446">
          <cell r="A446" t="str">
            <v>745000</v>
          </cell>
        </row>
        <row r="447">
          <cell r="A447" t="str">
            <v>748000</v>
          </cell>
        </row>
        <row r="448">
          <cell r="A448" t="str">
            <v>751000</v>
          </cell>
        </row>
        <row r="449">
          <cell r="A449" t="str">
            <v>752000</v>
          </cell>
        </row>
        <row r="450">
          <cell r="A450" t="str">
            <v>753000</v>
          </cell>
        </row>
        <row r="451">
          <cell r="A451" t="str">
            <v>754000</v>
          </cell>
        </row>
        <row r="452">
          <cell r="A452" t="str">
            <v>755000</v>
          </cell>
        </row>
        <row r="453">
          <cell r="A453" t="str">
            <v>756000</v>
          </cell>
        </row>
        <row r="454">
          <cell r="A454" t="str">
            <v>757000</v>
          </cell>
        </row>
        <row r="455">
          <cell r="A455" t="str">
            <v>758000</v>
          </cell>
        </row>
        <row r="456">
          <cell r="A456" t="str">
            <v>770000</v>
          </cell>
        </row>
        <row r="457">
          <cell r="A457" t="str">
            <v>781110</v>
          </cell>
        </row>
        <row r="458">
          <cell r="A458" t="str">
            <v>781120</v>
          </cell>
        </row>
        <row r="459">
          <cell r="A459" t="str">
            <v>781500</v>
          </cell>
        </row>
        <row r="460">
          <cell r="A460" t="str">
            <v>781610</v>
          </cell>
        </row>
        <row r="461">
          <cell r="A461" t="str">
            <v>781620</v>
          </cell>
        </row>
        <row r="462">
          <cell r="A462" t="str">
            <v>781730</v>
          </cell>
        </row>
        <row r="463">
          <cell r="A463" t="str">
            <v>781740</v>
          </cell>
        </row>
        <row r="464">
          <cell r="A464" t="str">
            <v>781800</v>
          </cell>
        </row>
        <row r="465">
          <cell r="A465" t="str">
            <v>786500</v>
          </cell>
        </row>
        <row r="466">
          <cell r="A466" t="str">
            <v>786600</v>
          </cell>
        </row>
        <row r="467">
          <cell r="A467" t="str">
            <v>786800</v>
          </cell>
        </row>
        <row r="468">
          <cell r="A468" t="str">
            <v>790000</v>
          </cell>
        </row>
        <row r="470">
          <cell r="A470" t="str">
            <v>TOTAL</v>
          </cell>
        </row>
      </sheetData>
      <sheetData sheetId="21">
        <row r="1">
          <cell r="A1" t="e">
            <v>#N/A</v>
          </cell>
        </row>
      </sheetData>
      <sheetData sheetId="22" refreshError="1">
        <row r="1">
          <cell r="A1" t="e">
            <v>#N/A</v>
          </cell>
        </row>
        <row r="6">
          <cell r="C6" t="str">
            <v>Numéro</v>
          </cell>
        </row>
        <row r="7">
          <cell r="C7">
            <v>101100</v>
          </cell>
        </row>
        <row r="8">
          <cell r="C8" t="str">
            <v>101200</v>
          </cell>
        </row>
        <row r="9">
          <cell r="C9" t="str">
            <v>101310</v>
          </cell>
        </row>
        <row r="10">
          <cell r="C10" t="str">
            <v>101320</v>
          </cell>
        </row>
        <row r="11">
          <cell r="C11" t="str">
            <v>101800</v>
          </cell>
        </row>
        <row r="12">
          <cell r="C12" t="str">
            <v>105000</v>
          </cell>
        </row>
        <row r="13">
          <cell r="C13" t="str">
            <v>108000</v>
          </cell>
        </row>
        <row r="14">
          <cell r="C14" t="str">
            <v>109000</v>
          </cell>
        </row>
        <row r="15">
          <cell r="C15" t="str">
            <v>111000</v>
          </cell>
        </row>
        <row r="16">
          <cell r="C16" t="str">
            <v>112000</v>
          </cell>
        </row>
        <row r="17">
          <cell r="C17" t="str">
            <v>117100</v>
          </cell>
        </row>
        <row r="18">
          <cell r="C18" t="str">
            <v>117200</v>
          </cell>
        </row>
        <row r="19">
          <cell r="C19" t="str">
            <v>117300</v>
          </cell>
        </row>
        <row r="20">
          <cell r="C20" t="str">
            <v>117400</v>
          </cell>
        </row>
        <row r="21">
          <cell r="C21" t="str">
            <v>117800</v>
          </cell>
        </row>
        <row r="22">
          <cell r="C22" t="str">
            <v>118100</v>
          </cell>
        </row>
        <row r="23">
          <cell r="C23" t="str">
            <v>119000</v>
          </cell>
        </row>
        <row r="24">
          <cell r="C24" t="str">
            <v>121000</v>
          </cell>
        </row>
        <row r="25">
          <cell r="C25" t="str">
            <v>128000</v>
          </cell>
        </row>
        <row r="26">
          <cell r="C26" t="str">
            <v>131000</v>
          </cell>
        </row>
        <row r="27">
          <cell r="C27" t="str">
            <v>135000</v>
          </cell>
        </row>
        <row r="28">
          <cell r="C28" t="str">
            <v>141000</v>
          </cell>
        </row>
        <row r="29">
          <cell r="C29" t="str">
            <v>142100</v>
          </cell>
        </row>
        <row r="30">
          <cell r="C30" t="str">
            <v>143000</v>
          </cell>
        </row>
        <row r="31">
          <cell r="C31" t="str">
            <v>144000</v>
          </cell>
        </row>
        <row r="32">
          <cell r="C32" t="str">
            <v>145100</v>
          </cell>
        </row>
        <row r="33">
          <cell r="C33" t="str">
            <v>145800</v>
          </cell>
        </row>
        <row r="34">
          <cell r="C34" t="str">
            <v>145900</v>
          </cell>
        </row>
        <row r="35">
          <cell r="C35" t="str">
            <v>147000</v>
          </cell>
        </row>
        <row r="36">
          <cell r="C36" t="str">
            <v>151100</v>
          </cell>
        </row>
        <row r="37">
          <cell r="C37" t="str">
            <v>151200</v>
          </cell>
        </row>
        <row r="38">
          <cell r="C38" t="str">
            <v>151300</v>
          </cell>
        </row>
        <row r="39">
          <cell r="C39" t="str">
            <v>151400</v>
          </cell>
        </row>
        <row r="40">
          <cell r="C40" t="str">
            <v>151500</v>
          </cell>
        </row>
        <row r="41">
          <cell r="C41" t="str">
            <v>151800</v>
          </cell>
        </row>
        <row r="42">
          <cell r="C42" t="str">
            <v>152200</v>
          </cell>
        </row>
        <row r="43">
          <cell r="C43" t="str">
            <v>153000</v>
          </cell>
        </row>
        <row r="44">
          <cell r="C44" t="str">
            <v>154000</v>
          </cell>
        </row>
        <row r="45">
          <cell r="C45" t="str">
            <v>155000</v>
          </cell>
        </row>
        <row r="46">
          <cell r="C46" t="str">
            <v>156000</v>
          </cell>
        </row>
        <row r="47">
          <cell r="C47" t="str">
            <v>157000</v>
          </cell>
        </row>
        <row r="48">
          <cell r="C48" t="str">
            <v>158000</v>
          </cell>
        </row>
        <row r="49">
          <cell r="C49" t="str">
            <v>161100</v>
          </cell>
        </row>
        <row r="50">
          <cell r="C50" t="str">
            <v>161800</v>
          </cell>
        </row>
        <row r="51">
          <cell r="C51" t="str">
            <v>162100</v>
          </cell>
        </row>
        <row r="52">
          <cell r="C52" t="str">
            <v>162600</v>
          </cell>
        </row>
        <row r="53">
          <cell r="C53" t="str">
            <v>163000</v>
          </cell>
        </row>
        <row r="54">
          <cell r="C54" t="str">
            <v>164100</v>
          </cell>
        </row>
        <row r="55">
          <cell r="C55" t="str">
            <v>164200</v>
          </cell>
        </row>
        <row r="56">
          <cell r="C56" t="str">
            <v>164400</v>
          </cell>
        </row>
        <row r="57">
          <cell r="C57" t="str">
            <v>165000</v>
          </cell>
        </row>
        <row r="58">
          <cell r="C58" t="str">
            <v>166100</v>
          </cell>
        </row>
        <row r="59">
          <cell r="C59" t="str">
            <v>166200</v>
          </cell>
        </row>
        <row r="60">
          <cell r="C60" t="str">
            <v>166300</v>
          </cell>
        </row>
        <row r="61">
          <cell r="C61" t="str">
            <v>167000</v>
          </cell>
        </row>
        <row r="62">
          <cell r="C62" t="str">
            <v>168100</v>
          </cell>
        </row>
        <row r="63">
          <cell r="C63" t="str">
            <v>168500</v>
          </cell>
        </row>
        <row r="64">
          <cell r="C64" t="str">
            <v>168800</v>
          </cell>
        </row>
        <row r="65">
          <cell r="C65" t="str">
            <v>171000</v>
          </cell>
        </row>
        <row r="66">
          <cell r="C66" t="str">
            <v>176000</v>
          </cell>
        </row>
        <row r="67">
          <cell r="C67" t="str">
            <v>177000</v>
          </cell>
        </row>
        <row r="68">
          <cell r="C68" t="str">
            <v>185000</v>
          </cell>
        </row>
        <row r="69">
          <cell r="C69" t="str">
            <v>188000</v>
          </cell>
        </row>
        <row r="70">
          <cell r="C70" t="str">
            <v>211000</v>
          </cell>
        </row>
        <row r="71">
          <cell r="C71" t="str">
            <v>212000</v>
          </cell>
        </row>
        <row r="72">
          <cell r="C72" t="str">
            <v>213000</v>
          </cell>
        </row>
        <row r="73">
          <cell r="C73" t="str">
            <v>214000</v>
          </cell>
        </row>
        <row r="74">
          <cell r="C74" t="str">
            <v>216000</v>
          </cell>
        </row>
        <row r="75">
          <cell r="C75" t="str">
            <v>218000</v>
          </cell>
        </row>
        <row r="76">
          <cell r="C76" t="str">
            <v>221300</v>
          </cell>
        </row>
        <row r="77">
          <cell r="C77" t="str">
            <v>221400</v>
          </cell>
        </row>
        <row r="78">
          <cell r="C78" t="str">
            <v>221500</v>
          </cell>
        </row>
        <row r="79">
          <cell r="C79" t="str">
            <v>221600</v>
          </cell>
        </row>
        <row r="80">
          <cell r="C80" t="str">
            <v>222100</v>
          </cell>
        </row>
        <row r="81">
          <cell r="C81" t="str">
            <v>222500</v>
          </cell>
        </row>
        <row r="82">
          <cell r="C82" t="str">
            <v>222600</v>
          </cell>
        </row>
        <row r="83">
          <cell r="C83" t="str">
            <v>222700</v>
          </cell>
        </row>
        <row r="84">
          <cell r="C84" t="str">
            <v>223100</v>
          </cell>
        </row>
        <row r="85">
          <cell r="C85" t="str">
            <v>223400</v>
          </cell>
        </row>
        <row r="86">
          <cell r="C86" t="str">
            <v>223500</v>
          </cell>
        </row>
        <row r="87">
          <cell r="C87" t="str">
            <v>223700</v>
          </cell>
        </row>
        <row r="88">
          <cell r="C88" t="str">
            <v>224100</v>
          </cell>
        </row>
        <row r="89">
          <cell r="C89" t="str">
            <v>224400</v>
          </cell>
        </row>
        <row r="90">
          <cell r="C90" t="str">
            <v>228100</v>
          </cell>
        </row>
        <row r="91">
          <cell r="C91" t="str">
            <v>228200</v>
          </cell>
        </row>
        <row r="92">
          <cell r="C92" t="str">
            <v>228600</v>
          </cell>
        </row>
        <row r="93">
          <cell r="C93" t="str">
            <v>231000</v>
          </cell>
        </row>
        <row r="94">
          <cell r="C94" t="str">
            <v>232000</v>
          </cell>
        </row>
        <row r="95">
          <cell r="C95" t="str">
            <v>237000</v>
          </cell>
        </row>
        <row r="96">
          <cell r="C96" t="str">
            <v>238000</v>
          </cell>
        </row>
        <row r="97">
          <cell r="C97" t="str">
            <v>240000</v>
          </cell>
        </row>
        <row r="98">
          <cell r="C98" t="str">
            <v>251100</v>
          </cell>
        </row>
        <row r="99">
          <cell r="C99" t="str">
            <v>251800</v>
          </cell>
        </row>
        <row r="100">
          <cell r="C100" t="str">
            <v>256000</v>
          </cell>
        </row>
        <row r="101">
          <cell r="C101" t="str">
            <v>257100</v>
          </cell>
        </row>
        <row r="102">
          <cell r="C102" t="str">
            <v>257400</v>
          </cell>
        </row>
        <row r="103">
          <cell r="C103" t="str">
            <v>257500</v>
          </cell>
        </row>
        <row r="104">
          <cell r="C104" t="str">
            <v>257600</v>
          </cell>
        </row>
        <row r="105">
          <cell r="C105" t="str">
            <v>257700</v>
          </cell>
        </row>
        <row r="106">
          <cell r="C106" t="str">
            <v>258000</v>
          </cell>
        </row>
        <row r="107">
          <cell r="C107" t="str">
            <v>259000</v>
          </cell>
        </row>
        <row r="108">
          <cell r="C108" t="str">
            <v>261100</v>
          </cell>
        </row>
        <row r="109">
          <cell r="C109" t="str">
            <v>261800</v>
          </cell>
        </row>
        <row r="110">
          <cell r="C110" t="str">
            <v>262100</v>
          </cell>
        </row>
        <row r="111">
          <cell r="C111" t="str">
            <v>262200</v>
          </cell>
        </row>
        <row r="112">
          <cell r="C112" t="str">
            <v>264100</v>
          </cell>
        </row>
        <row r="113">
          <cell r="C113" t="str">
            <v>264200</v>
          </cell>
        </row>
        <row r="114">
          <cell r="C114" t="str">
            <v>264300</v>
          </cell>
        </row>
        <row r="115">
          <cell r="C115" t="str">
            <v>264500</v>
          </cell>
        </row>
        <row r="116">
          <cell r="C116" t="str">
            <v>264800</v>
          </cell>
        </row>
        <row r="117">
          <cell r="C117" t="str">
            <v>265100</v>
          </cell>
        </row>
        <row r="118">
          <cell r="C118" t="str">
            <v>265500</v>
          </cell>
        </row>
        <row r="119">
          <cell r="C119" t="str">
            <v>265600</v>
          </cell>
        </row>
        <row r="120">
          <cell r="C120" t="str">
            <v>265800</v>
          </cell>
        </row>
        <row r="121">
          <cell r="C121" t="str">
            <v>266100</v>
          </cell>
        </row>
        <row r="122">
          <cell r="C122" t="str">
            <v>266700</v>
          </cell>
        </row>
        <row r="123">
          <cell r="C123" t="str">
            <v>266800</v>
          </cell>
        </row>
        <row r="124">
          <cell r="C124" t="str">
            <v>269000</v>
          </cell>
        </row>
        <row r="125">
          <cell r="C125" t="str">
            <v>271000</v>
          </cell>
        </row>
        <row r="126">
          <cell r="C126" t="str">
            <v>272000</v>
          </cell>
        </row>
        <row r="127">
          <cell r="C127" t="str">
            <v>273000</v>
          </cell>
        </row>
        <row r="128">
          <cell r="C128" t="str">
            <v>275000</v>
          </cell>
        </row>
        <row r="129">
          <cell r="C129" t="str">
            <v>278000</v>
          </cell>
        </row>
        <row r="130">
          <cell r="C130" t="str">
            <v>281000</v>
          </cell>
        </row>
        <row r="131">
          <cell r="C131" t="str">
            <v>282000</v>
          </cell>
        </row>
        <row r="132">
          <cell r="C132" t="str">
            <v>284000</v>
          </cell>
        </row>
        <row r="133">
          <cell r="C133" t="str">
            <v>291000</v>
          </cell>
        </row>
        <row r="134">
          <cell r="C134" t="str">
            <v>292000</v>
          </cell>
        </row>
        <row r="135">
          <cell r="C135" t="str">
            <v>293000</v>
          </cell>
        </row>
        <row r="136">
          <cell r="C136" t="str">
            <v>294000</v>
          </cell>
        </row>
        <row r="137">
          <cell r="C137" t="str">
            <v>295000</v>
          </cell>
        </row>
        <row r="138">
          <cell r="C138" t="str">
            <v>297000</v>
          </cell>
        </row>
        <row r="139">
          <cell r="C139" t="str">
            <v>311000</v>
          </cell>
        </row>
        <row r="140">
          <cell r="C140" t="str">
            <v>313000</v>
          </cell>
        </row>
        <row r="141">
          <cell r="C141" t="str">
            <v>317000</v>
          </cell>
        </row>
        <row r="142">
          <cell r="C142" t="str">
            <v>321000</v>
          </cell>
        </row>
        <row r="143">
          <cell r="C143" t="str">
            <v>322000</v>
          </cell>
        </row>
        <row r="144">
          <cell r="C144" t="str">
            <v>326000</v>
          </cell>
        </row>
        <row r="145">
          <cell r="C145" t="str">
            <v>327000</v>
          </cell>
        </row>
        <row r="146">
          <cell r="C146" t="str">
            <v>331000</v>
          </cell>
        </row>
        <row r="147">
          <cell r="C147" t="str">
            <v>335000</v>
          </cell>
        </row>
        <row r="148">
          <cell r="C148" t="str">
            <v>341000</v>
          </cell>
        </row>
        <row r="149">
          <cell r="C149" t="str">
            <v>345000</v>
          </cell>
        </row>
        <row r="150">
          <cell r="C150" t="str">
            <v>351000</v>
          </cell>
        </row>
        <row r="151">
          <cell r="C151" t="str">
            <v>355000</v>
          </cell>
        </row>
        <row r="152">
          <cell r="C152" t="str">
            <v>357000</v>
          </cell>
        </row>
        <row r="153">
          <cell r="C153" t="str">
            <v>370000</v>
          </cell>
        </row>
        <row r="154">
          <cell r="C154" t="str">
            <v>390000</v>
          </cell>
        </row>
        <row r="155">
          <cell r="C155" t="str">
            <v>401100</v>
          </cell>
        </row>
        <row r="156">
          <cell r="C156" t="str">
            <v>401700</v>
          </cell>
        </row>
        <row r="157">
          <cell r="C157" t="str">
            <v>403000</v>
          </cell>
        </row>
        <row r="158">
          <cell r="C158" t="str">
            <v>404100</v>
          </cell>
        </row>
        <row r="159">
          <cell r="C159" t="str">
            <v>404700</v>
          </cell>
        </row>
        <row r="160">
          <cell r="C160" t="str">
            <v>405000</v>
          </cell>
        </row>
        <row r="161">
          <cell r="C161" t="str">
            <v>408100</v>
          </cell>
        </row>
        <row r="162">
          <cell r="C162" t="str">
            <v>408400</v>
          </cell>
        </row>
        <row r="163">
          <cell r="C163" t="str">
            <v>408800</v>
          </cell>
        </row>
        <row r="164">
          <cell r="C164" t="str">
            <v>409100</v>
          </cell>
        </row>
        <row r="165">
          <cell r="C165" t="str">
            <v>409600</v>
          </cell>
        </row>
        <row r="166">
          <cell r="C166" t="str">
            <v>409710</v>
          </cell>
        </row>
        <row r="167">
          <cell r="C167" t="str">
            <v>409740</v>
          </cell>
        </row>
        <row r="168">
          <cell r="C168" t="str">
            <v>409800</v>
          </cell>
        </row>
        <row r="169">
          <cell r="C169" t="str">
            <v>411100</v>
          </cell>
        </row>
        <row r="170">
          <cell r="C170" t="str">
            <v>411700</v>
          </cell>
        </row>
        <row r="171">
          <cell r="C171" t="str">
            <v>413000</v>
          </cell>
        </row>
        <row r="172">
          <cell r="C172" t="str">
            <v>416000</v>
          </cell>
        </row>
        <row r="173">
          <cell r="C173" t="str">
            <v>417000</v>
          </cell>
        </row>
        <row r="174">
          <cell r="C174" t="str">
            <v>418100</v>
          </cell>
        </row>
        <row r="175">
          <cell r="C175" t="str">
            <v>418800</v>
          </cell>
        </row>
        <row r="176">
          <cell r="C176" t="str">
            <v>419100</v>
          </cell>
        </row>
        <row r="177">
          <cell r="C177" t="str">
            <v>419600</v>
          </cell>
        </row>
        <row r="178">
          <cell r="C178" t="str">
            <v>419700</v>
          </cell>
        </row>
        <row r="179">
          <cell r="C179" t="str">
            <v>419800</v>
          </cell>
        </row>
        <row r="180">
          <cell r="C180" t="str">
            <v>421000</v>
          </cell>
        </row>
        <row r="181">
          <cell r="C181" t="str">
            <v>422000</v>
          </cell>
        </row>
        <row r="182">
          <cell r="C182" t="str">
            <v>423000</v>
          </cell>
        </row>
        <row r="183">
          <cell r="C183" t="str">
            <v>425000</v>
          </cell>
        </row>
        <row r="184">
          <cell r="C184" t="str">
            <v>426000</v>
          </cell>
        </row>
        <row r="185">
          <cell r="C185" t="str">
            <v>427000</v>
          </cell>
        </row>
        <row r="186">
          <cell r="C186" t="str">
            <v>428200</v>
          </cell>
        </row>
        <row r="187">
          <cell r="C187" t="str">
            <v>428600</v>
          </cell>
        </row>
        <row r="188">
          <cell r="C188" t="str">
            <v>428700</v>
          </cell>
        </row>
        <row r="189">
          <cell r="C189" t="str">
            <v>431000</v>
          </cell>
        </row>
        <row r="190">
          <cell r="C190" t="str">
            <v>432000</v>
          </cell>
        </row>
        <row r="191">
          <cell r="C191" t="str">
            <v>433000</v>
          </cell>
        </row>
        <row r="192">
          <cell r="C192" t="str">
            <v>434100</v>
          </cell>
        </row>
        <row r="193">
          <cell r="C193" t="str">
            <v>434200</v>
          </cell>
        </row>
        <row r="194">
          <cell r="C194" t="str">
            <v>434300</v>
          </cell>
        </row>
        <row r="195">
          <cell r="C195" t="str">
            <v>434900</v>
          </cell>
        </row>
        <row r="196">
          <cell r="C196" t="str">
            <v>435000</v>
          </cell>
        </row>
        <row r="197">
          <cell r="C197" t="str">
            <v>436510</v>
          </cell>
        </row>
        <row r="198">
          <cell r="C198" t="str">
            <v>436580</v>
          </cell>
        </row>
        <row r="199">
          <cell r="C199" t="str">
            <v>436620</v>
          </cell>
        </row>
        <row r="200">
          <cell r="C200" t="str">
            <v>436630</v>
          </cell>
        </row>
        <row r="201">
          <cell r="C201" t="str">
            <v>436660</v>
          </cell>
        </row>
        <row r="202">
          <cell r="C202" t="str">
            <v>436670</v>
          </cell>
        </row>
        <row r="203">
          <cell r="C203" t="str">
            <v>436680</v>
          </cell>
        </row>
        <row r="204">
          <cell r="C204" t="str">
            <v>436711</v>
          </cell>
        </row>
        <row r="205">
          <cell r="C205" t="str">
            <v>436712</v>
          </cell>
        </row>
        <row r="206">
          <cell r="C206" t="str">
            <v>436780</v>
          </cell>
        </row>
        <row r="207">
          <cell r="C207" t="str">
            <v>436800</v>
          </cell>
        </row>
        <row r="208">
          <cell r="C208" t="str">
            <v>437000</v>
          </cell>
        </row>
        <row r="209">
          <cell r="C209" t="str">
            <v>438200</v>
          </cell>
        </row>
        <row r="210">
          <cell r="C210" t="str">
            <v>438600</v>
          </cell>
        </row>
        <row r="211">
          <cell r="C211" t="str">
            <v>438700</v>
          </cell>
        </row>
        <row r="212">
          <cell r="C212" t="str">
            <v>441100</v>
          </cell>
        </row>
        <row r="213">
          <cell r="C213" t="str">
            <v>441200</v>
          </cell>
        </row>
        <row r="214">
          <cell r="C214" t="str">
            <v>442100</v>
          </cell>
        </row>
        <row r="215">
          <cell r="C215" t="str">
            <v>442800</v>
          </cell>
        </row>
        <row r="216">
          <cell r="C216" t="str">
            <v>446000</v>
          </cell>
        </row>
        <row r="217">
          <cell r="C217" t="str">
            <v>447000</v>
          </cell>
        </row>
        <row r="218">
          <cell r="C218" t="str">
            <v>448100</v>
          </cell>
        </row>
        <row r="219">
          <cell r="C219" t="str">
            <v>448800</v>
          </cell>
        </row>
        <row r="220">
          <cell r="C220" t="str">
            <v>452000</v>
          </cell>
        </row>
        <row r="221">
          <cell r="C221" t="str">
            <v>453110</v>
          </cell>
        </row>
        <row r="222">
          <cell r="C222" t="str">
            <v>453180</v>
          </cell>
        </row>
        <row r="223">
          <cell r="C223" t="str">
            <v>453820</v>
          </cell>
        </row>
        <row r="224">
          <cell r="C224" t="str">
            <v>453860</v>
          </cell>
        </row>
        <row r="225">
          <cell r="C225" t="str">
            <v>453870</v>
          </cell>
        </row>
        <row r="226">
          <cell r="C226" t="str">
            <v>454000</v>
          </cell>
        </row>
        <row r="227">
          <cell r="C227" t="str">
            <v>455000</v>
          </cell>
        </row>
        <row r="228">
          <cell r="C228" t="str">
            <v>457000</v>
          </cell>
        </row>
        <row r="229">
          <cell r="C229" t="str">
            <v>458600</v>
          </cell>
        </row>
        <row r="230">
          <cell r="C230" t="str">
            <v>458700</v>
          </cell>
        </row>
        <row r="231">
          <cell r="C231" t="str">
            <v>461000</v>
          </cell>
        </row>
        <row r="232">
          <cell r="C232" t="str">
            <v>465100</v>
          </cell>
        </row>
        <row r="233">
          <cell r="C233" t="str">
            <v>465200</v>
          </cell>
        </row>
        <row r="234">
          <cell r="C234" t="str">
            <v>468000</v>
          </cell>
        </row>
        <row r="235">
          <cell r="C235" t="str">
            <v>471000</v>
          </cell>
        </row>
        <row r="236">
          <cell r="C236" t="str">
            <v>472000</v>
          </cell>
        </row>
        <row r="237">
          <cell r="C237" t="str">
            <v>478600</v>
          </cell>
        </row>
        <row r="238">
          <cell r="C238" t="str">
            <v>478700</v>
          </cell>
        </row>
        <row r="239">
          <cell r="C239" t="str">
            <v>480000</v>
          </cell>
        </row>
        <row r="240">
          <cell r="C240" t="str">
            <v>491000</v>
          </cell>
        </row>
        <row r="241">
          <cell r="C241" t="str">
            <v>495100</v>
          </cell>
        </row>
        <row r="242">
          <cell r="C242" t="str">
            <v>495200</v>
          </cell>
        </row>
        <row r="243">
          <cell r="C243" t="str">
            <v>495800</v>
          </cell>
        </row>
        <row r="244">
          <cell r="C244" t="str">
            <v>496200</v>
          </cell>
        </row>
        <row r="245">
          <cell r="C245" t="str">
            <v>496500</v>
          </cell>
        </row>
        <row r="246">
          <cell r="C246" t="str">
            <v>496700</v>
          </cell>
        </row>
        <row r="247">
          <cell r="C247" t="str">
            <v>501000</v>
          </cell>
        </row>
        <row r="248">
          <cell r="C248" t="str">
            <v>505000</v>
          </cell>
        </row>
        <row r="249">
          <cell r="C249" t="str">
            <v>506100</v>
          </cell>
        </row>
        <row r="250">
          <cell r="C250" t="str">
            <v>506300</v>
          </cell>
        </row>
        <row r="251">
          <cell r="C251" t="str">
            <v>506700</v>
          </cell>
        </row>
        <row r="252">
          <cell r="C252" t="str">
            <v>507000</v>
          </cell>
        </row>
        <row r="253">
          <cell r="C253" t="str">
            <v>508000</v>
          </cell>
        </row>
        <row r="254">
          <cell r="C254" t="str">
            <v>511000</v>
          </cell>
        </row>
        <row r="255">
          <cell r="C255" t="str">
            <v>516000</v>
          </cell>
        </row>
        <row r="256">
          <cell r="C256" t="str">
            <v>517000</v>
          </cell>
        </row>
        <row r="257">
          <cell r="C257" t="str">
            <v>518000</v>
          </cell>
        </row>
        <row r="258">
          <cell r="C258" t="str">
            <v>523100</v>
          </cell>
        </row>
        <row r="259">
          <cell r="C259" t="str">
            <v>523500</v>
          </cell>
        </row>
        <row r="260">
          <cell r="C260" t="str">
            <v>524000</v>
          </cell>
        </row>
        <row r="261">
          <cell r="C261" t="str">
            <v>525000</v>
          </cell>
        </row>
        <row r="262">
          <cell r="C262" t="str">
            <v>526100</v>
          </cell>
        </row>
        <row r="263">
          <cell r="C263" t="str">
            <v>526500</v>
          </cell>
        </row>
        <row r="264">
          <cell r="C264" t="str">
            <v>526600</v>
          </cell>
        </row>
        <row r="265">
          <cell r="C265" t="str">
            <v>527000</v>
          </cell>
        </row>
        <row r="266">
          <cell r="C266" t="str">
            <v>528100</v>
          </cell>
        </row>
        <row r="267">
          <cell r="C267" t="str">
            <v>528800</v>
          </cell>
        </row>
        <row r="268">
          <cell r="C268" t="str">
            <v>529000</v>
          </cell>
        </row>
        <row r="269">
          <cell r="C269" t="str">
            <v>531100</v>
          </cell>
        </row>
        <row r="270">
          <cell r="C270" t="str">
            <v>531200</v>
          </cell>
        </row>
        <row r="271">
          <cell r="C271" t="str">
            <v>531300</v>
          </cell>
        </row>
        <row r="272">
          <cell r="C272" t="str">
            <v>531400</v>
          </cell>
        </row>
        <row r="273">
          <cell r="C273" t="str">
            <v>532100</v>
          </cell>
        </row>
        <row r="274">
          <cell r="C274" t="str">
            <v>532400</v>
          </cell>
        </row>
        <row r="275">
          <cell r="C275" t="str">
            <v>534000</v>
          </cell>
        </row>
        <row r="276">
          <cell r="C276" t="str">
            <v>535000</v>
          </cell>
        </row>
        <row r="277">
          <cell r="C277" t="str">
            <v>537000</v>
          </cell>
        </row>
        <row r="278">
          <cell r="C278" t="str">
            <v>541100</v>
          </cell>
        </row>
        <row r="279">
          <cell r="C279" t="str">
            <v>541400</v>
          </cell>
        </row>
        <row r="280">
          <cell r="C280" t="str">
            <v>542000</v>
          </cell>
        </row>
        <row r="281">
          <cell r="C281" t="str">
            <v>550000</v>
          </cell>
        </row>
        <row r="282">
          <cell r="C282" t="str">
            <v>580000</v>
          </cell>
        </row>
        <row r="283">
          <cell r="C283" t="str">
            <v>590000</v>
          </cell>
        </row>
        <row r="284">
          <cell r="C284" t="str">
            <v>601000</v>
          </cell>
        </row>
        <row r="285">
          <cell r="C285" t="str">
            <v>602100</v>
          </cell>
        </row>
        <row r="286">
          <cell r="C286" t="str">
            <v>602200</v>
          </cell>
        </row>
        <row r="287">
          <cell r="C287" t="str">
            <v>602600</v>
          </cell>
        </row>
        <row r="288">
          <cell r="C288" t="str">
            <v>603100</v>
          </cell>
        </row>
        <row r="289">
          <cell r="C289" t="str">
            <v>603200</v>
          </cell>
        </row>
        <row r="290">
          <cell r="C290" t="str">
            <v>603700</v>
          </cell>
        </row>
        <row r="291">
          <cell r="C291" t="str">
            <v>604000</v>
          </cell>
        </row>
        <row r="292">
          <cell r="C292" t="str">
            <v>605000</v>
          </cell>
        </row>
        <row r="293">
          <cell r="C293" t="str">
            <v>606000</v>
          </cell>
        </row>
        <row r="294">
          <cell r="C294" t="str">
            <v>607000</v>
          </cell>
        </row>
        <row r="295">
          <cell r="C295" t="str">
            <v>608000</v>
          </cell>
        </row>
        <row r="296">
          <cell r="C296" t="str">
            <v>609800</v>
          </cell>
        </row>
        <row r="297">
          <cell r="C297" t="str">
            <v>611000</v>
          </cell>
        </row>
        <row r="298">
          <cell r="C298" t="str">
            <v>612000</v>
          </cell>
        </row>
        <row r="299">
          <cell r="C299" t="str">
            <v>613000</v>
          </cell>
        </row>
        <row r="300">
          <cell r="C300" t="str">
            <v>614000</v>
          </cell>
        </row>
        <row r="301">
          <cell r="C301" t="str">
            <v>615000</v>
          </cell>
        </row>
        <row r="302">
          <cell r="C302" t="str">
            <v>616000</v>
          </cell>
        </row>
        <row r="303">
          <cell r="C303" t="str">
            <v>617000</v>
          </cell>
        </row>
        <row r="304">
          <cell r="C304" t="str">
            <v>618000</v>
          </cell>
        </row>
        <row r="305">
          <cell r="C305" t="str">
            <v>619000</v>
          </cell>
        </row>
        <row r="306">
          <cell r="C306" t="str">
            <v>621000</v>
          </cell>
        </row>
        <row r="307">
          <cell r="C307" t="str">
            <v>622000</v>
          </cell>
        </row>
        <row r="308">
          <cell r="C308" t="str">
            <v>623000</v>
          </cell>
        </row>
        <row r="309">
          <cell r="C309" t="str">
            <v>624100</v>
          </cell>
        </row>
        <row r="310">
          <cell r="C310" t="str">
            <v>624200</v>
          </cell>
        </row>
        <row r="311">
          <cell r="C311" t="str">
            <v>624400</v>
          </cell>
        </row>
        <row r="312">
          <cell r="C312" t="str">
            <v>624700</v>
          </cell>
        </row>
        <row r="313">
          <cell r="C313" t="str">
            <v>624800</v>
          </cell>
        </row>
        <row r="314">
          <cell r="C314" t="str">
            <v>625100</v>
          </cell>
        </row>
        <row r="315">
          <cell r="C315" t="str">
            <v>625500</v>
          </cell>
        </row>
        <row r="316">
          <cell r="C316" t="str">
            <v>625600</v>
          </cell>
        </row>
        <row r="317">
          <cell r="C317" t="str">
            <v>625700</v>
          </cell>
        </row>
        <row r="318">
          <cell r="C318" t="str">
            <v>626000</v>
          </cell>
        </row>
        <row r="319">
          <cell r="C319" t="str">
            <v>627100</v>
          </cell>
        </row>
        <row r="320">
          <cell r="C320" t="str">
            <v>627200</v>
          </cell>
        </row>
        <row r="321">
          <cell r="C321" t="str">
            <v>627500</v>
          </cell>
        </row>
        <row r="322">
          <cell r="C322" t="str">
            <v>627600</v>
          </cell>
        </row>
        <row r="323">
          <cell r="C323" t="str">
            <v>627800</v>
          </cell>
        </row>
        <row r="324">
          <cell r="C324" t="str">
            <v>628000</v>
          </cell>
        </row>
        <row r="325">
          <cell r="C325" t="str">
            <v>629000</v>
          </cell>
        </row>
        <row r="326">
          <cell r="C326" t="str">
            <v>631000</v>
          </cell>
        </row>
        <row r="327">
          <cell r="C327" t="str">
            <v>633000</v>
          </cell>
        </row>
        <row r="328">
          <cell r="C328" t="str">
            <v>634100</v>
          </cell>
        </row>
        <row r="329">
          <cell r="C329" t="str">
            <v>634400</v>
          </cell>
        </row>
        <row r="330">
          <cell r="C330" t="str">
            <v>635100</v>
          </cell>
        </row>
        <row r="331">
          <cell r="C331" t="str">
            <v>635500</v>
          </cell>
        </row>
        <row r="332">
          <cell r="C332" t="str">
            <v>636000</v>
          </cell>
        </row>
        <row r="333">
          <cell r="C333" t="str">
            <v>637000</v>
          </cell>
        </row>
        <row r="334">
          <cell r="C334" t="str">
            <v>638000</v>
          </cell>
        </row>
        <row r="335">
          <cell r="C335" t="str">
            <v>640000</v>
          </cell>
        </row>
        <row r="336">
          <cell r="C336" t="str">
            <v>640100</v>
          </cell>
        </row>
        <row r="337">
          <cell r="C337" t="str">
            <v>640200</v>
          </cell>
        </row>
        <row r="338">
          <cell r="C338" t="str">
            <v>640300</v>
          </cell>
        </row>
        <row r="339">
          <cell r="C339" t="str">
            <v>640400</v>
          </cell>
        </row>
        <row r="340">
          <cell r="C340" t="str">
            <v>640900</v>
          </cell>
        </row>
        <row r="341">
          <cell r="C341" t="str">
            <v>642000</v>
          </cell>
        </row>
        <row r="342">
          <cell r="C342" t="str">
            <v>642100</v>
          </cell>
        </row>
        <row r="343">
          <cell r="C343" t="str">
            <v>642200</v>
          </cell>
        </row>
        <row r="344">
          <cell r="C344" t="str">
            <v>642300</v>
          </cell>
        </row>
        <row r="345">
          <cell r="C345" t="str">
            <v>642400</v>
          </cell>
        </row>
        <row r="346">
          <cell r="C346" t="str">
            <v>642900</v>
          </cell>
        </row>
        <row r="347">
          <cell r="C347" t="str">
            <v>643000</v>
          </cell>
        </row>
        <row r="348">
          <cell r="C348" t="str">
            <v>644000</v>
          </cell>
        </row>
        <row r="349">
          <cell r="C349" t="str">
            <v>644100</v>
          </cell>
        </row>
        <row r="350">
          <cell r="C350" t="str">
            <v>645000</v>
          </cell>
        </row>
        <row r="351">
          <cell r="C351" t="str">
            <v>646000</v>
          </cell>
        </row>
        <row r="352">
          <cell r="C352" t="str">
            <v>646020</v>
          </cell>
        </row>
        <row r="353">
          <cell r="C353" t="str">
            <v>646040</v>
          </cell>
        </row>
        <row r="354">
          <cell r="C354" t="str">
            <v>646200</v>
          </cell>
        </row>
        <row r="355">
          <cell r="C355" t="str">
            <v>646220</v>
          </cell>
        </row>
        <row r="356">
          <cell r="C356" t="str">
            <v>646240</v>
          </cell>
        </row>
        <row r="357">
          <cell r="C357" t="str">
            <v>646400</v>
          </cell>
        </row>
        <row r="358">
          <cell r="C358" t="str">
            <v>646420</v>
          </cell>
        </row>
        <row r="359">
          <cell r="C359" t="str">
            <v>646440</v>
          </cell>
        </row>
        <row r="360">
          <cell r="C360" t="str">
            <v>646500</v>
          </cell>
        </row>
        <row r="361">
          <cell r="C361" t="str">
            <v>646520</v>
          </cell>
        </row>
        <row r="362">
          <cell r="C362" t="str">
            <v>646540</v>
          </cell>
        </row>
        <row r="363">
          <cell r="C363" t="str">
            <v>647000</v>
          </cell>
        </row>
        <row r="364">
          <cell r="C364" t="str">
            <v>647200</v>
          </cell>
        </row>
        <row r="365">
          <cell r="C365" t="str">
            <v>647400</v>
          </cell>
        </row>
        <row r="366">
          <cell r="C366" t="str">
            <v>647500</v>
          </cell>
        </row>
        <row r="367">
          <cell r="C367" t="str">
            <v>647600</v>
          </cell>
        </row>
        <row r="368">
          <cell r="C368" t="str">
            <v>648000</v>
          </cell>
        </row>
        <row r="369">
          <cell r="C369" t="str">
            <v>649000</v>
          </cell>
        </row>
        <row r="370">
          <cell r="C370" t="str">
            <v>649500</v>
          </cell>
        </row>
        <row r="371">
          <cell r="C371" t="str">
            <v>651160</v>
          </cell>
        </row>
        <row r="372">
          <cell r="C372" t="str">
            <v>651170</v>
          </cell>
        </row>
        <row r="373">
          <cell r="C373" t="str">
            <v>651500</v>
          </cell>
        </row>
        <row r="374">
          <cell r="C374" t="str">
            <v>651600</v>
          </cell>
        </row>
        <row r="375">
          <cell r="C375" t="str">
            <v>651700</v>
          </cell>
        </row>
        <row r="376">
          <cell r="C376" t="str">
            <v>651800</v>
          </cell>
        </row>
        <row r="377">
          <cell r="C377" t="str">
            <v>653000</v>
          </cell>
        </row>
        <row r="378">
          <cell r="C378" t="str">
            <v>654000</v>
          </cell>
        </row>
        <row r="379">
          <cell r="C379" t="str">
            <v>655000</v>
          </cell>
        </row>
        <row r="380">
          <cell r="C380" t="str">
            <v>656000</v>
          </cell>
        </row>
        <row r="381">
          <cell r="C381" t="str">
            <v>657000</v>
          </cell>
        </row>
        <row r="382">
          <cell r="C382" t="str">
            <v>658000</v>
          </cell>
        </row>
        <row r="383">
          <cell r="C383" t="str">
            <v>661100</v>
          </cell>
        </row>
        <row r="384">
          <cell r="C384" t="str">
            <v>661200</v>
          </cell>
        </row>
        <row r="385">
          <cell r="C385" t="str">
            <v>661800</v>
          </cell>
        </row>
        <row r="386">
          <cell r="C386" t="str">
            <v>665100</v>
          </cell>
        </row>
        <row r="387">
          <cell r="C387" t="str">
            <v>665200</v>
          </cell>
        </row>
        <row r="388">
          <cell r="C388" t="str">
            <v>665400</v>
          </cell>
        </row>
        <row r="389">
          <cell r="C389" t="str">
            <v>665500</v>
          </cell>
        </row>
        <row r="390">
          <cell r="C390" t="str">
            <v>665800</v>
          </cell>
        </row>
        <row r="391">
          <cell r="C391" t="str">
            <v>668000</v>
          </cell>
        </row>
        <row r="392">
          <cell r="C392" t="str">
            <v>670000</v>
          </cell>
        </row>
        <row r="393">
          <cell r="C393" t="str">
            <v>681110</v>
          </cell>
        </row>
        <row r="394">
          <cell r="C394" t="str">
            <v>681120</v>
          </cell>
        </row>
        <row r="395">
          <cell r="C395" t="str">
            <v>681200</v>
          </cell>
        </row>
        <row r="396">
          <cell r="C396" t="str">
            <v>681500</v>
          </cell>
        </row>
        <row r="397">
          <cell r="C397" t="str">
            <v>681610</v>
          </cell>
        </row>
        <row r="398">
          <cell r="C398" t="str">
            <v>681620</v>
          </cell>
        </row>
        <row r="399">
          <cell r="C399" t="str">
            <v>681730</v>
          </cell>
        </row>
        <row r="400">
          <cell r="C400" t="str">
            <v>681740</v>
          </cell>
        </row>
        <row r="401">
          <cell r="C401" t="str">
            <v>681800</v>
          </cell>
        </row>
        <row r="402">
          <cell r="C402" t="str">
            <v>686100</v>
          </cell>
        </row>
        <row r="403">
          <cell r="C403" t="str">
            <v>686500</v>
          </cell>
        </row>
        <row r="404">
          <cell r="C404" t="str">
            <v>686620</v>
          </cell>
        </row>
        <row r="405">
          <cell r="C405" t="str">
            <v>686650</v>
          </cell>
        </row>
        <row r="406">
          <cell r="C406" t="str">
            <v>686800</v>
          </cell>
        </row>
        <row r="407">
          <cell r="C407" t="str">
            <v>691000</v>
          </cell>
        </row>
        <row r="408">
          <cell r="C408" t="str">
            <v>695000</v>
          </cell>
        </row>
        <row r="409">
          <cell r="C409" t="str">
            <v>697000</v>
          </cell>
        </row>
        <row r="410">
          <cell r="C410" t="str">
            <v>701100</v>
          </cell>
        </row>
        <row r="411">
          <cell r="C411" t="str">
            <v>701200</v>
          </cell>
        </row>
        <row r="412">
          <cell r="C412" t="str">
            <v>702000</v>
          </cell>
        </row>
        <row r="413">
          <cell r="C413" t="str">
            <v>703000</v>
          </cell>
        </row>
        <row r="414">
          <cell r="C414" t="str">
            <v>704000</v>
          </cell>
        </row>
        <row r="415">
          <cell r="C415" t="str">
            <v>705000</v>
          </cell>
        </row>
        <row r="416">
          <cell r="C416" t="str">
            <v>706000</v>
          </cell>
        </row>
        <row r="417">
          <cell r="C417" t="str">
            <v>707000</v>
          </cell>
        </row>
        <row r="418">
          <cell r="C418" t="str">
            <v>708000</v>
          </cell>
        </row>
        <row r="419">
          <cell r="C419" t="str">
            <v>709100</v>
          </cell>
        </row>
        <row r="420">
          <cell r="C420" t="str">
            <v>709200</v>
          </cell>
        </row>
        <row r="421">
          <cell r="C421" t="str">
            <v>709400</v>
          </cell>
        </row>
        <row r="422">
          <cell r="C422" t="str">
            <v>709500</v>
          </cell>
        </row>
        <row r="423">
          <cell r="C423" t="str">
            <v>709600</v>
          </cell>
        </row>
        <row r="424">
          <cell r="C424" t="str">
            <v>709700</v>
          </cell>
        </row>
        <row r="425">
          <cell r="C425" t="str">
            <v>709800</v>
          </cell>
        </row>
        <row r="426">
          <cell r="C426" t="str">
            <v>713300</v>
          </cell>
        </row>
        <row r="427">
          <cell r="C427" t="str">
            <v>713400</v>
          </cell>
        </row>
        <row r="428">
          <cell r="C428" t="str">
            <v>713500</v>
          </cell>
        </row>
        <row r="429">
          <cell r="C429" t="str">
            <v>721000</v>
          </cell>
        </row>
        <row r="430">
          <cell r="C430" t="str">
            <v>722000</v>
          </cell>
        </row>
        <row r="431">
          <cell r="C431" t="str">
            <v>728000</v>
          </cell>
        </row>
        <row r="432">
          <cell r="C432" t="str">
            <v>731000</v>
          </cell>
        </row>
        <row r="433">
          <cell r="C433" t="str">
            <v>732000</v>
          </cell>
        </row>
        <row r="434">
          <cell r="C434" t="str">
            <v>733000</v>
          </cell>
        </row>
        <row r="435">
          <cell r="C435" t="str">
            <v>734000</v>
          </cell>
        </row>
        <row r="436">
          <cell r="C436" t="str">
            <v>735000</v>
          </cell>
        </row>
        <row r="437">
          <cell r="C437" t="str">
            <v>736000</v>
          </cell>
        </row>
        <row r="438">
          <cell r="C438" t="str">
            <v>738000</v>
          </cell>
        </row>
        <row r="439">
          <cell r="C439" t="str">
            <v>739000</v>
          </cell>
        </row>
        <row r="440">
          <cell r="C440" t="str">
            <v>741000</v>
          </cell>
        </row>
        <row r="441">
          <cell r="C441" t="str">
            <v>745000</v>
          </cell>
        </row>
        <row r="442">
          <cell r="C442" t="str">
            <v>748000</v>
          </cell>
        </row>
        <row r="443">
          <cell r="C443" t="str">
            <v>751000</v>
          </cell>
        </row>
        <row r="444">
          <cell r="C444" t="str">
            <v>752000</v>
          </cell>
        </row>
        <row r="445">
          <cell r="C445" t="str">
            <v>753000</v>
          </cell>
        </row>
        <row r="446">
          <cell r="C446" t="str">
            <v>754000</v>
          </cell>
        </row>
        <row r="447">
          <cell r="C447" t="str">
            <v>755000</v>
          </cell>
        </row>
        <row r="448">
          <cell r="C448" t="str">
            <v>756000</v>
          </cell>
        </row>
        <row r="449">
          <cell r="C449" t="str">
            <v>757000</v>
          </cell>
        </row>
        <row r="450">
          <cell r="C450" t="str">
            <v>758000</v>
          </cell>
        </row>
        <row r="451">
          <cell r="C451" t="str">
            <v>770000</v>
          </cell>
        </row>
        <row r="452">
          <cell r="C452" t="str">
            <v>781110</v>
          </cell>
        </row>
        <row r="453">
          <cell r="C453" t="str">
            <v>781120</v>
          </cell>
        </row>
        <row r="454">
          <cell r="C454" t="str">
            <v>781500</v>
          </cell>
        </row>
        <row r="455">
          <cell r="C455" t="str">
            <v>781610</v>
          </cell>
        </row>
        <row r="456">
          <cell r="C456" t="str">
            <v>781620</v>
          </cell>
        </row>
        <row r="457">
          <cell r="C457" t="str">
            <v>781730</v>
          </cell>
        </row>
        <row r="458">
          <cell r="C458" t="str">
            <v>781740</v>
          </cell>
        </row>
        <row r="459">
          <cell r="C459" t="str">
            <v>781800</v>
          </cell>
        </row>
        <row r="460">
          <cell r="C460" t="str">
            <v>786500</v>
          </cell>
        </row>
        <row r="461">
          <cell r="C461" t="str">
            <v>786600</v>
          </cell>
        </row>
        <row r="462">
          <cell r="C462" t="str">
            <v>786800</v>
          </cell>
        </row>
        <row r="463">
          <cell r="C463" t="str">
            <v>790000</v>
          </cell>
        </row>
      </sheetData>
      <sheetData sheetId="23" refreshError="1"/>
      <sheetData sheetId="24" refreshError="1"/>
      <sheetData sheetId="25" refreshError="1"/>
      <sheetData sheetId="26">
        <row r="1">
          <cell r="A1">
            <v>0</v>
          </cell>
        </row>
      </sheetData>
      <sheetData sheetId="27">
        <row r="1">
          <cell r="A1">
            <v>0</v>
          </cell>
        </row>
      </sheetData>
      <sheetData sheetId="28">
        <row r="1">
          <cell r="A1">
            <v>0</v>
          </cell>
        </row>
      </sheetData>
      <sheetData sheetId="29" refreshError="1"/>
      <sheetData sheetId="30">
        <row r="1">
          <cell r="A1"/>
        </row>
      </sheetData>
      <sheetData sheetId="31">
        <row r="5">
          <cell r="B5" t="str">
            <v>06/1997</v>
          </cell>
        </row>
      </sheetData>
      <sheetData sheetId="32">
        <row r="1">
          <cell r="A1">
            <v>0</v>
          </cell>
        </row>
      </sheetData>
      <sheetData sheetId="33">
        <row r="1">
          <cell r="A1">
            <v>0</v>
          </cell>
        </row>
      </sheetData>
      <sheetData sheetId="34">
        <row r="1">
          <cell r="A1">
            <v>0</v>
          </cell>
        </row>
      </sheetData>
      <sheetData sheetId="35">
        <row r="1">
          <cell r="A1">
            <v>0</v>
          </cell>
        </row>
      </sheetData>
      <sheetData sheetId="36">
        <row r="1">
          <cell r="A1">
            <v>0</v>
          </cell>
        </row>
      </sheetData>
      <sheetData sheetId="37">
        <row r="1">
          <cell r="A1">
            <v>0</v>
          </cell>
        </row>
      </sheetData>
      <sheetData sheetId="38">
        <row r="1">
          <cell r="A1">
            <v>0</v>
          </cell>
        </row>
      </sheetData>
      <sheetData sheetId="39" refreshError="1"/>
      <sheetData sheetId="40" refreshError="1"/>
      <sheetData sheetId="41" refreshError="1"/>
      <sheetData sheetId="42" refreshError="1"/>
      <sheetData sheetId="43" refreshError="1"/>
      <sheetData sheetId="44">
        <row r="1">
          <cell r="A1">
            <v>0</v>
          </cell>
        </row>
      </sheetData>
      <sheetData sheetId="45">
        <row r="1">
          <cell r="A1">
            <v>0</v>
          </cell>
        </row>
      </sheetData>
      <sheetData sheetId="46">
        <row r="1">
          <cell r="A1">
            <v>0</v>
          </cell>
        </row>
      </sheetData>
      <sheetData sheetId="47">
        <row r="1">
          <cell r="A1">
            <v>0</v>
          </cell>
        </row>
      </sheetData>
      <sheetData sheetId="48">
        <row r="1">
          <cell r="A1">
            <v>0</v>
          </cell>
        </row>
      </sheetData>
      <sheetData sheetId="49">
        <row r="1">
          <cell r="A1">
            <v>0</v>
          </cell>
        </row>
      </sheetData>
      <sheetData sheetId="50">
        <row r="1">
          <cell r="A1">
            <v>0</v>
          </cell>
        </row>
      </sheetData>
      <sheetData sheetId="51">
        <row r="1">
          <cell r="A1">
            <v>0</v>
          </cell>
        </row>
      </sheetData>
      <sheetData sheetId="52">
        <row r="1">
          <cell r="A1">
            <v>0</v>
          </cell>
        </row>
      </sheetData>
      <sheetData sheetId="53">
        <row r="1">
          <cell r="A1">
            <v>0</v>
          </cell>
        </row>
      </sheetData>
      <sheetData sheetId="54">
        <row r="1">
          <cell r="A1">
            <v>0</v>
          </cell>
        </row>
      </sheetData>
      <sheetData sheetId="55">
        <row r="1">
          <cell r="A1">
            <v>0</v>
          </cell>
        </row>
      </sheetData>
      <sheetData sheetId="56">
        <row r="1">
          <cell r="A1">
            <v>0</v>
          </cell>
        </row>
      </sheetData>
      <sheetData sheetId="57" refreshError="1"/>
      <sheetData sheetId="58" refreshError="1"/>
      <sheetData sheetId="59" refreshError="1"/>
      <sheetData sheetId="60">
        <row r="1">
          <cell r="A1">
            <v>0</v>
          </cell>
        </row>
      </sheetData>
      <sheetData sheetId="61">
        <row r="1">
          <cell r="A1">
            <v>0</v>
          </cell>
        </row>
      </sheetData>
      <sheetData sheetId="62">
        <row r="1">
          <cell r="A1">
            <v>0</v>
          </cell>
        </row>
      </sheetData>
      <sheetData sheetId="63">
        <row r="1">
          <cell r="A1">
            <v>0</v>
          </cell>
        </row>
      </sheetData>
      <sheetData sheetId="64">
        <row r="1">
          <cell r="A1">
            <v>0</v>
          </cell>
        </row>
      </sheetData>
      <sheetData sheetId="65">
        <row r="1">
          <cell r="A1">
            <v>0</v>
          </cell>
        </row>
      </sheetData>
      <sheetData sheetId="66">
        <row r="1">
          <cell r="A1">
            <v>0</v>
          </cell>
        </row>
      </sheetData>
      <sheetData sheetId="67" refreshError="1"/>
      <sheetData sheetId="68" refreshError="1"/>
      <sheetData sheetId="69">
        <row r="1">
          <cell r="A1">
            <v>0</v>
          </cell>
        </row>
      </sheetData>
      <sheetData sheetId="70">
        <row r="1">
          <cell r="A1">
            <v>0</v>
          </cell>
        </row>
      </sheetData>
      <sheetData sheetId="71">
        <row r="1">
          <cell r="A1">
            <v>0</v>
          </cell>
        </row>
      </sheetData>
      <sheetData sheetId="72">
        <row r="1">
          <cell r="A1">
            <v>0</v>
          </cell>
        </row>
      </sheetData>
      <sheetData sheetId="73">
        <row r="1">
          <cell r="A1">
            <v>0</v>
          </cell>
        </row>
      </sheetData>
      <sheetData sheetId="74">
        <row r="1">
          <cell r="A1"/>
        </row>
      </sheetData>
      <sheetData sheetId="75">
        <row r="1">
          <cell r="A1">
            <v>0</v>
          </cell>
        </row>
      </sheetData>
      <sheetData sheetId="76">
        <row r="1">
          <cell r="A1">
            <v>0</v>
          </cell>
        </row>
      </sheetData>
      <sheetData sheetId="77">
        <row r="1">
          <cell r="A1"/>
        </row>
      </sheetData>
      <sheetData sheetId="78">
        <row r="1">
          <cell r="A1">
            <v>0</v>
          </cell>
        </row>
      </sheetData>
      <sheetData sheetId="79">
        <row r="1">
          <cell r="A1">
            <v>0</v>
          </cell>
        </row>
      </sheetData>
      <sheetData sheetId="80">
        <row r="1">
          <cell r="A1"/>
        </row>
      </sheetData>
      <sheetData sheetId="81">
        <row r="1">
          <cell r="A1"/>
        </row>
      </sheetData>
      <sheetData sheetId="82">
        <row r="1">
          <cell r="A1">
            <v>0</v>
          </cell>
        </row>
      </sheetData>
      <sheetData sheetId="83">
        <row r="1">
          <cell r="A1"/>
        </row>
      </sheetData>
      <sheetData sheetId="84">
        <row r="1">
          <cell r="A1">
            <v>0</v>
          </cell>
        </row>
      </sheetData>
      <sheetData sheetId="85">
        <row r="1">
          <cell r="A1">
            <v>0</v>
          </cell>
        </row>
      </sheetData>
      <sheetData sheetId="86">
        <row r="1">
          <cell r="A1">
            <v>0</v>
          </cell>
        </row>
      </sheetData>
      <sheetData sheetId="87">
        <row r="1">
          <cell r="A1">
            <v>0</v>
          </cell>
        </row>
      </sheetData>
      <sheetData sheetId="88">
        <row r="1">
          <cell r="A1">
            <v>0</v>
          </cell>
        </row>
      </sheetData>
      <sheetData sheetId="89">
        <row r="1">
          <cell r="A1"/>
        </row>
      </sheetData>
      <sheetData sheetId="90">
        <row r="1">
          <cell r="A1">
            <v>0</v>
          </cell>
        </row>
      </sheetData>
      <sheetData sheetId="91">
        <row r="1">
          <cell r="A1">
            <v>0</v>
          </cell>
        </row>
      </sheetData>
      <sheetData sheetId="92">
        <row r="1">
          <cell r="A1"/>
        </row>
      </sheetData>
      <sheetData sheetId="93">
        <row r="1">
          <cell r="A1"/>
        </row>
      </sheetData>
      <sheetData sheetId="94"/>
      <sheetData sheetId="95">
        <row r="1">
          <cell r="A1">
            <v>0</v>
          </cell>
        </row>
      </sheetData>
      <sheetData sheetId="96">
        <row r="1">
          <cell r="A1"/>
        </row>
      </sheetData>
      <sheetData sheetId="97">
        <row r="1">
          <cell r="A1">
            <v>0</v>
          </cell>
        </row>
      </sheetData>
      <sheetData sheetId="98">
        <row r="1">
          <cell r="A1">
            <v>0</v>
          </cell>
        </row>
      </sheetData>
      <sheetData sheetId="99">
        <row r="1">
          <cell r="A1"/>
        </row>
      </sheetData>
      <sheetData sheetId="100">
        <row r="1">
          <cell r="A1">
            <v>0</v>
          </cell>
        </row>
      </sheetData>
      <sheetData sheetId="101">
        <row r="1">
          <cell r="A1">
            <v>0</v>
          </cell>
        </row>
      </sheetData>
      <sheetData sheetId="102">
        <row r="1">
          <cell r="A1"/>
        </row>
      </sheetData>
      <sheetData sheetId="103">
        <row r="1">
          <cell r="A1">
            <v>0</v>
          </cell>
        </row>
      </sheetData>
      <sheetData sheetId="104">
        <row r="1">
          <cell r="A1"/>
        </row>
      </sheetData>
      <sheetData sheetId="105">
        <row r="1">
          <cell r="A1"/>
        </row>
      </sheetData>
      <sheetData sheetId="106">
        <row r="1">
          <cell r="A1">
            <v>0</v>
          </cell>
        </row>
      </sheetData>
      <sheetData sheetId="107">
        <row r="1">
          <cell r="A1"/>
        </row>
      </sheetData>
      <sheetData sheetId="108">
        <row r="1">
          <cell r="A1">
            <v>0</v>
          </cell>
        </row>
      </sheetData>
      <sheetData sheetId="109">
        <row r="1">
          <cell r="A1">
            <v>0</v>
          </cell>
        </row>
      </sheetData>
      <sheetData sheetId="110">
        <row r="1">
          <cell r="A1">
            <v>0</v>
          </cell>
        </row>
      </sheetData>
      <sheetData sheetId="111">
        <row r="1">
          <cell r="A1">
            <v>0</v>
          </cell>
        </row>
      </sheetData>
      <sheetData sheetId="112">
        <row r="1">
          <cell r="A1">
            <v>0</v>
          </cell>
        </row>
      </sheetData>
      <sheetData sheetId="113">
        <row r="1">
          <cell r="A1">
            <v>0</v>
          </cell>
        </row>
      </sheetData>
      <sheetData sheetId="114">
        <row r="1">
          <cell r="A1"/>
        </row>
      </sheetData>
      <sheetData sheetId="115">
        <row r="1">
          <cell r="A1">
            <v>0</v>
          </cell>
        </row>
      </sheetData>
      <sheetData sheetId="116">
        <row r="1">
          <cell r="A1">
            <v>0</v>
          </cell>
        </row>
      </sheetData>
      <sheetData sheetId="117">
        <row r="1">
          <cell r="A1"/>
        </row>
      </sheetData>
      <sheetData sheetId="118">
        <row r="1">
          <cell r="A1">
            <v>0</v>
          </cell>
        </row>
      </sheetData>
      <sheetData sheetId="119">
        <row r="1">
          <cell r="A1">
            <v>0</v>
          </cell>
        </row>
      </sheetData>
      <sheetData sheetId="120">
        <row r="1">
          <cell r="A1"/>
        </row>
      </sheetData>
      <sheetData sheetId="121">
        <row r="1">
          <cell r="A1">
            <v>0</v>
          </cell>
        </row>
      </sheetData>
      <sheetData sheetId="122">
        <row r="1">
          <cell r="A1"/>
        </row>
      </sheetData>
      <sheetData sheetId="123"/>
      <sheetData sheetId="124">
        <row r="1">
          <cell r="A1">
            <v>0</v>
          </cell>
        </row>
      </sheetData>
      <sheetData sheetId="125">
        <row r="1">
          <cell r="A1">
            <v>0</v>
          </cell>
        </row>
      </sheetData>
      <sheetData sheetId="126"/>
      <sheetData sheetId="127">
        <row r="1">
          <cell r="A1">
            <v>0</v>
          </cell>
        </row>
      </sheetData>
      <sheetData sheetId="128">
        <row r="1">
          <cell r="A1">
            <v>0</v>
          </cell>
        </row>
      </sheetData>
      <sheetData sheetId="129"/>
      <sheetData sheetId="130">
        <row r="1">
          <cell r="A1">
            <v>0</v>
          </cell>
        </row>
      </sheetData>
      <sheetData sheetId="131">
        <row r="1">
          <cell r="A1">
            <v>0</v>
          </cell>
        </row>
      </sheetData>
      <sheetData sheetId="132">
        <row r="1">
          <cell r="A1">
            <v>0</v>
          </cell>
        </row>
      </sheetData>
      <sheetData sheetId="133">
        <row r="1">
          <cell r="A1">
            <v>0</v>
          </cell>
        </row>
      </sheetData>
      <sheetData sheetId="134">
        <row r="1">
          <cell r="A1">
            <v>0</v>
          </cell>
        </row>
      </sheetData>
      <sheetData sheetId="135"/>
      <sheetData sheetId="136"/>
      <sheetData sheetId="137">
        <row r="1">
          <cell r="A1">
            <v>0</v>
          </cell>
        </row>
      </sheetData>
      <sheetData sheetId="138">
        <row r="1">
          <cell r="A1">
            <v>0</v>
          </cell>
        </row>
      </sheetData>
      <sheetData sheetId="139"/>
      <sheetData sheetId="140">
        <row r="1">
          <cell r="A1">
            <v>0</v>
          </cell>
        </row>
      </sheetData>
      <sheetData sheetId="141"/>
      <sheetData sheetId="142">
        <row r="1">
          <cell r="A1">
            <v>0</v>
          </cell>
        </row>
      </sheetData>
      <sheetData sheetId="143">
        <row r="1">
          <cell r="A1">
            <v>0</v>
          </cell>
        </row>
      </sheetData>
      <sheetData sheetId="144">
        <row r="1">
          <cell r="A1">
            <v>0</v>
          </cell>
        </row>
      </sheetData>
      <sheetData sheetId="145"/>
      <sheetData sheetId="146"/>
      <sheetData sheetId="147">
        <row r="1">
          <cell r="A1">
            <v>0</v>
          </cell>
        </row>
      </sheetData>
      <sheetData sheetId="148">
        <row r="1">
          <cell r="A1">
            <v>0</v>
          </cell>
        </row>
      </sheetData>
      <sheetData sheetId="149"/>
      <sheetData sheetId="150"/>
      <sheetData sheetId="151">
        <row r="1">
          <cell r="A1">
            <v>0</v>
          </cell>
        </row>
      </sheetData>
      <sheetData sheetId="152">
        <row r="1">
          <cell r="A1"/>
        </row>
      </sheetData>
      <sheetData sheetId="153"/>
      <sheetData sheetId="154">
        <row r="1">
          <cell r="A1">
            <v>0</v>
          </cell>
        </row>
      </sheetData>
      <sheetData sheetId="155">
        <row r="1">
          <cell r="A1">
            <v>0</v>
          </cell>
        </row>
      </sheetData>
      <sheetData sheetId="156">
        <row r="1">
          <cell r="A1">
            <v>0</v>
          </cell>
        </row>
      </sheetData>
      <sheetData sheetId="157"/>
      <sheetData sheetId="158">
        <row r="1">
          <cell r="A1">
            <v>0</v>
          </cell>
        </row>
      </sheetData>
      <sheetData sheetId="159">
        <row r="1">
          <cell r="A1">
            <v>0</v>
          </cell>
        </row>
      </sheetData>
      <sheetData sheetId="160"/>
      <sheetData sheetId="161">
        <row r="1">
          <cell r="A1">
            <v>0</v>
          </cell>
        </row>
      </sheetData>
      <sheetData sheetId="162"/>
      <sheetData sheetId="163"/>
      <sheetData sheetId="164">
        <row r="1">
          <cell r="A1">
            <v>0</v>
          </cell>
        </row>
      </sheetData>
      <sheetData sheetId="165"/>
      <sheetData sheetId="166">
        <row r="1">
          <cell r="A1"/>
        </row>
      </sheetData>
      <sheetData sheetId="167"/>
      <sheetData sheetId="168"/>
      <sheetData sheetId="169">
        <row r="1">
          <cell r="A1"/>
        </row>
      </sheetData>
      <sheetData sheetId="170"/>
      <sheetData sheetId="171">
        <row r="1">
          <cell r="A1">
            <v>0</v>
          </cell>
        </row>
      </sheetData>
      <sheetData sheetId="172">
        <row r="1">
          <cell r="A1">
            <v>0</v>
          </cell>
        </row>
      </sheetData>
      <sheetData sheetId="173">
        <row r="1">
          <cell r="A1">
            <v>0</v>
          </cell>
        </row>
      </sheetData>
      <sheetData sheetId="174">
        <row r="1">
          <cell r="A1">
            <v>0</v>
          </cell>
        </row>
      </sheetData>
      <sheetData sheetId="175">
        <row r="1">
          <cell r="A1">
            <v>0</v>
          </cell>
        </row>
      </sheetData>
      <sheetData sheetId="176">
        <row r="1">
          <cell r="A1">
            <v>0</v>
          </cell>
        </row>
      </sheetData>
      <sheetData sheetId="177" refreshError="1"/>
      <sheetData sheetId="178" refreshError="1"/>
      <sheetData sheetId="179" refreshError="1"/>
      <sheetData sheetId="180">
        <row r="1">
          <cell r="A1">
            <v>0</v>
          </cell>
        </row>
      </sheetData>
      <sheetData sheetId="181">
        <row r="1">
          <cell r="A1">
            <v>0</v>
          </cell>
        </row>
      </sheetData>
      <sheetData sheetId="182"/>
      <sheetData sheetId="183"/>
      <sheetData sheetId="184">
        <row r="1">
          <cell r="A1">
            <v>0</v>
          </cell>
        </row>
      </sheetData>
      <sheetData sheetId="185">
        <row r="1">
          <cell r="A1">
            <v>0</v>
          </cell>
        </row>
      </sheetData>
      <sheetData sheetId="186"/>
      <sheetData sheetId="187"/>
      <sheetData sheetId="188"/>
      <sheetData sheetId="189"/>
      <sheetData sheetId="190"/>
      <sheetData sheetId="191"/>
      <sheetData sheetId="192"/>
      <sheetData sheetId="193">
        <row r="1">
          <cell r="A1">
            <v>0</v>
          </cell>
        </row>
      </sheetData>
      <sheetData sheetId="194" refreshError="1"/>
      <sheetData sheetId="195" refreshError="1"/>
      <sheetData sheetId="196"/>
      <sheetData sheetId="197">
        <row r="1">
          <cell r="A1">
            <v>0</v>
          </cell>
        </row>
      </sheetData>
      <sheetData sheetId="198">
        <row r="1">
          <cell r="A1">
            <v>0</v>
          </cell>
        </row>
      </sheetData>
      <sheetData sheetId="199"/>
      <sheetData sheetId="200"/>
      <sheetData sheetId="201">
        <row r="1">
          <cell r="A1">
            <v>0</v>
          </cell>
        </row>
      </sheetData>
      <sheetData sheetId="202">
        <row r="1">
          <cell r="A1">
            <v>0</v>
          </cell>
        </row>
      </sheetData>
      <sheetData sheetId="203"/>
      <sheetData sheetId="204">
        <row r="1">
          <cell r="A1">
            <v>0</v>
          </cell>
        </row>
      </sheetData>
      <sheetData sheetId="205">
        <row r="1">
          <cell r="A1">
            <v>0</v>
          </cell>
        </row>
      </sheetData>
      <sheetData sheetId="206"/>
      <sheetData sheetId="207">
        <row r="1">
          <cell r="A1">
            <v>0</v>
          </cell>
        </row>
      </sheetData>
      <sheetData sheetId="208">
        <row r="1">
          <cell r="A1">
            <v>0</v>
          </cell>
        </row>
      </sheetData>
      <sheetData sheetId="209"/>
      <sheetData sheetId="210">
        <row r="1">
          <cell r="A1">
            <v>0</v>
          </cell>
        </row>
      </sheetData>
      <sheetData sheetId="211">
        <row r="1">
          <cell r="A1">
            <v>0</v>
          </cell>
        </row>
      </sheetData>
      <sheetData sheetId="212"/>
      <sheetData sheetId="213">
        <row r="1">
          <cell r="A1">
            <v>0</v>
          </cell>
        </row>
      </sheetData>
      <sheetData sheetId="214">
        <row r="1">
          <cell r="A1">
            <v>0</v>
          </cell>
        </row>
      </sheetData>
      <sheetData sheetId="215"/>
      <sheetData sheetId="216">
        <row r="1">
          <cell r="A1">
            <v>0</v>
          </cell>
        </row>
      </sheetData>
      <sheetData sheetId="217">
        <row r="1">
          <cell r="A1">
            <v>0</v>
          </cell>
        </row>
      </sheetData>
      <sheetData sheetId="218"/>
      <sheetData sheetId="219">
        <row r="1">
          <cell r="A1">
            <v>0</v>
          </cell>
        </row>
      </sheetData>
      <sheetData sheetId="220">
        <row r="1">
          <cell r="A1">
            <v>0</v>
          </cell>
        </row>
      </sheetData>
      <sheetData sheetId="221">
        <row r="1">
          <cell r="A1">
            <v>0</v>
          </cell>
        </row>
      </sheetData>
      <sheetData sheetId="222"/>
      <sheetData sheetId="223">
        <row r="1">
          <cell r="A1">
            <v>0</v>
          </cell>
        </row>
      </sheetData>
      <sheetData sheetId="224">
        <row r="1">
          <cell r="A1">
            <v>0</v>
          </cell>
        </row>
      </sheetData>
      <sheetData sheetId="225"/>
      <sheetData sheetId="226">
        <row r="1">
          <cell r="A1">
            <v>0</v>
          </cell>
        </row>
      </sheetData>
      <sheetData sheetId="227">
        <row r="1">
          <cell r="A1" t="e">
            <v>#N/A</v>
          </cell>
        </row>
      </sheetData>
      <sheetData sheetId="228">
        <row r="1">
          <cell r="A1" t="e">
            <v>#N/A</v>
          </cell>
        </row>
      </sheetData>
      <sheetData sheetId="229"/>
      <sheetData sheetId="230"/>
      <sheetData sheetId="231"/>
      <sheetData sheetId="232">
        <row r="1">
          <cell r="A1">
            <v>0</v>
          </cell>
        </row>
      </sheetData>
      <sheetData sheetId="233">
        <row r="1">
          <cell r="A1">
            <v>0</v>
          </cell>
        </row>
      </sheetData>
      <sheetData sheetId="234"/>
      <sheetData sheetId="235"/>
      <sheetData sheetId="236">
        <row r="1">
          <cell r="A1">
            <v>0</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lance"/>
      <sheetName val="flux"/>
      <sheetName val="eres"/>
      <sheetName val="recap amm"/>
      <sheetName val="BILAN"/>
      <sheetName val="Décompte Fisc"/>
    </sheetNames>
    <sheetDataSet>
      <sheetData sheetId="0" refreshError="1"/>
      <sheetData sheetId="1" refreshError="1"/>
      <sheetData sheetId="2" refreshError="1"/>
      <sheetData sheetId="3" refreshError="1"/>
      <sheetData sheetId="4">
        <row r="2">
          <cell r="B2">
            <v>40178</v>
          </cell>
        </row>
      </sheetData>
      <sheetData sheetId="5"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ДДС Кореспонденции"/>
      <sheetName val="ДДС_Кореспонденции"/>
    </sheetNames>
    <sheetDataSet>
      <sheetData sheetId="0" refreshError="1"/>
      <sheetData sheetId="1"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Konstrukzia"/>
      <sheetName val="128B"/>
      <sheetName val="Data"/>
      <sheetName val="KonstrSrartTip-050531P-K"/>
      <sheetName val="Монтаж"/>
    </sheetNames>
    <sheetDataSet>
      <sheetData sheetId="0"/>
      <sheetData sheetId="1"/>
      <sheetData sheetId="2">
        <row r="5">
          <cell r="B5" t="str">
            <v>K2+</v>
          </cell>
          <cell r="C5">
            <v>2</v>
          </cell>
        </row>
        <row r="6">
          <cell r="B6" t="str">
            <v>K2-</v>
          </cell>
          <cell r="C6">
            <v>1.9</v>
          </cell>
        </row>
        <row r="7">
          <cell r="B7" t="str">
            <v>K2+</v>
          </cell>
          <cell r="C7">
            <v>2</v>
          </cell>
        </row>
        <row r="8">
          <cell r="B8" t="str">
            <v>K2ca-</v>
          </cell>
          <cell r="C8">
            <v>1.9</v>
          </cell>
        </row>
        <row r="9">
          <cell r="B9" t="str">
            <v>K+</v>
          </cell>
          <cell r="C9">
            <v>2</v>
          </cell>
        </row>
        <row r="10">
          <cell r="B10" t="str">
            <v>K-</v>
          </cell>
          <cell r="C10">
            <v>2</v>
          </cell>
        </row>
        <row r="11">
          <cell r="B11" t="str">
            <v>Kca-</v>
          </cell>
          <cell r="C11">
            <v>2</v>
          </cell>
        </row>
        <row r="12">
          <cell r="B12" t="str">
            <v>H+</v>
          </cell>
          <cell r="C12">
            <v>1.85</v>
          </cell>
        </row>
        <row r="13">
          <cell r="B13" t="str">
            <v>H-</v>
          </cell>
          <cell r="C13">
            <v>1.55</v>
          </cell>
        </row>
        <row r="14">
          <cell r="B14" t="str">
            <v>HCa-</v>
          </cell>
          <cell r="C14">
            <v>1.55</v>
          </cell>
        </row>
        <row r="15">
          <cell r="B15" t="str">
            <v>E+</v>
          </cell>
          <cell r="C15">
            <v>2</v>
          </cell>
        </row>
        <row r="16">
          <cell r="B16" t="str">
            <v>E-</v>
          </cell>
          <cell r="C16">
            <v>1.7</v>
          </cell>
        </row>
        <row r="17">
          <cell r="B17" t="str">
            <v>ECa-</v>
          </cell>
          <cell r="C17">
            <v>1.7</v>
          </cell>
        </row>
        <row r="18">
          <cell r="B18" t="str">
            <v>B+</v>
          </cell>
          <cell r="C18">
            <v>1.8</v>
          </cell>
        </row>
        <row r="19">
          <cell r="B19" t="str">
            <v>B-</v>
          </cell>
          <cell r="C19">
            <v>1.5</v>
          </cell>
        </row>
        <row r="20">
          <cell r="B20" t="str">
            <v>F+</v>
          </cell>
          <cell r="C20">
            <v>1.9</v>
          </cell>
          <cell r="E20">
            <v>0.8</v>
          </cell>
          <cell r="F20" t="str">
            <v>160x1.2x0.2 PE</v>
          </cell>
        </row>
        <row r="21">
          <cell r="B21" t="str">
            <v>F-</v>
          </cell>
          <cell r="C21">
            <v>1.8</v>
          </cell>
          <cell r="E21">
            <v>1</v>
          </cell>
          <cell r="F21" t="str">
            <v>160x1.0x0.2 PE</v>
          </cell>
        </row>
        <row r="22">
          <cell r="B22" t="str">
            <v>FCa-</v>
          </cell>
          <cell r="C22">
            <v>1.8</v>
          </cell>
          <cell r="E22">
            <v>1.2</v>
          </cell>
          <cell r="F22" t="str">
            <v>160x1.2x0.2 PE</v>
          </cell>
        </row>
        <row r="23">
          <cell r="B23" t="str">
            <v>X+</v>
          </cell>
          <cell r="C23">
            <v>1.5</v>
          </cell>
          <cell r="E23">
            <v>1.4</v>
          </cell>
          <cell r="F23" t="str">
            <v>158x1.4x0.2 PE</v>
          </cell>
        </row>
        <row r="24">
          <cell r="B24" t="str">
            <v>X-</v>
          </cell>
          <cell r="C24">
            <v>1.5</v>
          </cell>
          <cell r="E24">
            <v>1.5</v>
          </cell>
          <cell r="F24" t="str">
            <v>158x1.4x0.2 PE GM</v>
          </cell>
        </row>
        <row r="25">
          <cell r="B25" t="str">
            <v>P+</v>
          </cell>
          <cell r="C25">
            <v>3.8</v>
          </cell>
          <cell r="E25">
            <v>1.1000000000000001</v>
          </cell>
          <cell r="F25" t="str">
            <v>122x1.1 PE</v>
          </cell>
        </row>
        <row r="26">
          <cell r="B26" t="str">
            <v>P1+</v>
          </cell>
          <cell r="C26">
            <v>2.9</v>
          </cell>
        </row>
        <row r="27">
          <cell r="B27" t="str">
            <v>P-</v>
          </cell>
          <cell r="C27">
            <v>2.4</v>
          </cell>
        </row>
        <row r="28">
          <cell r="B28" t="str">
            <v>P1-</v>
          </cell>
          <cell r="C28">
            <v>2.1</v>
          </cell>
        </row>
        <row r="29">
          <cell r="B29" t="str">
            <v>D2+</v>
          </cell>
          <cell r="C29">
            <v>2</v>
          </cell>
        </row>
        <row r="30">
          <cell r="B30" t="str">
            <v>Д+</v>
          </cell>
          <cell r="C30">
            <v>3</v>
          </cell>
        </row>
        <row r="31">
          <cell r="B31" t="str">
            <v>Д-</v>
          </cell>
          <cell r="C31">
            <v>2.2000000000000002</v>
          </cell>
        </row>
        <row r="32">
          <cell r="B32" t="str">
            <v>CAM+</v>
          </cell>
          <cell r="C32">
            <v>1.3</v>
          </cell>
        </row>
        <row r="33">
          <cell r="B33" t="str">
            <v>CAM-</v>
          </cell>
          <cell r="C33">
            <v>1.3</v>
          </cell>
        </row>
      </sheetData>
      <sheetData sheetId="3" refreshError="1"/>
      <sheetData sheetId="4"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ocument control"/>
      <sheetName val="Title"/>
      <sheetName val="Scope &amp; Instruction"/>
      <sheetName val="EMS links"/>
      <sheetName val="Overview"/>
      <sheetName val="TOD - Bank Accounts"/>
      <sheetName val="TOD - Bank Confirmation"/>
      <sheetName val="Cash on Hand"/>
      <sheetName val="IPE"/>
      <sheetName val="Disclosures"/>
      <sheetName val="Sampling (HIDE)"/>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le"/>
      <sheetName val="Document control"/>
      <sheetName val="RSV link"/>
      <sheetName val="0. Overview"/>
      <sheetName val="1. Schedules &amp; analysis"/>
      <sheetName val="2. Confirmations"/>
      <sheetName val="3. Subsequent cash"/>
      <sheetName val="4. Estimates"/>
      <sheetName val="5. credit balances"/>
      <sheetName val="6. RP balances"/>
      <sheetName val="7.IPE"/>
      <sheetName val="8. MUS sampling"/>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1"/>
      <sheetName val="New Bank Loan"/>
      <sheetName val="Bank Loan existing "/>
      <sheetName val="Employees "/>
      <sheetName val="Grades Working Hours &amp; Costs"/>
      <sheetName val="Project A"/>
      <sheetName val="Project B"/>
      <sheetName val="Project  C"/>
      <sheetName val="Project  D"/>
      <sheetName val="Project  E"/>
      <sheetName val="Project  F"/>
      <sheetName val="Project G"/>
      <sheetName val="Project  H"/>
      <sheetName val="Project I"/>
      <sheetName val="Horizon-305"/>
      <sheetName val="Project MONB BUL"/>
      <sheetName val="Project MONB ITA"/>
      <sheetName val="Project MONB SER "/>
      <sheetName val="Project MONB R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iano ammort. alla Francese"/>
      <sheetName val="Piano ammort. all'Italiana"/>
    </sheetNames>
    <sheetDataSet>
      <sheetData sheetId="0"/>
      <sheetData sheetId="1">
        <row r="4">
          <cell r="B4">
            <v>1000000</v>
          </cell>
          <cell r="E4">
            <v>1.5</v>
          </cell>
        </row>
        <row r="6">
          <cell r="B6">
            <v>0.02</v>
          </cell>
          <cell r="E6">
            <v>12</v>
          </cell>
        </row>
        <row r="8">
          <cell r="B8">
            <v>4.5</v>
          </cell>
        </row>
        <row r="10">
          <cell r="B10">
            <v>12</v>
          </cell>
        </row>
      </sheetData>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critures"/>
    </sheetNames>
    <sheetDataSet>
      <sheetData sheetId="0">
        <row r="3">
          <cell r="B3" t="str">
            <v>CARTHAGO</v>
          </cell>
          <cell r="E3" t="str">
            <v xml:space="preserve">0 lignes </v>
          </cell>
        </row>
        <row r="5">
          <cell r="A5" t="str">
            <v>C</v>
          </cell>
          <cell r="B5">
            <v>37257</v>
          </cell>
          <cell r="C5">
            <v>37591</v>
          </cell>
        </row>
      </sheetData>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critures"/>
    </sheetNames>
    <sheetDataSet>
      <sheetData sheetId="0">
        <row r="3">
          <cell r="B3" t="str">
            <v>CARTHAGO</v>
          </cell>
          <cell r="E3" t="str">
            <v xml:space="preserve">0 lignes </v>
          </cell>
        </row>
        <row r="5">
          <cell r="A5" t="str">
            <v>C</v>
          </cell>
          <cell r="B5">
            <v>37257</v>
          </cell>
          <cell r="C5">
            <v>37591</v>
          </cell>
        </row>
      </sheetData>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critures DET"/>
    </sheetNames>
    <sheetDataSet>
      <sheetData sheetId="0">
        <row r="2">
          <cell r="G2" t="str">
            <v>Mvt Dbt</v>
          </cell>
        </row>
        <row r="3">
          <cell r="G3">
            <v>0</v>
          </cell>
        </row>
      </sheetData>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critures DET"/>
    </sheetNames>
    <sheetDataSet>
      <sheetData sheetId="0">
        <row r="2">
          <cell r="G2" t="str">
            <v>Mvt Dbt</v>
          </cell>
        </row>
        <row r="3">
          <cell r="G3">
            <v>0</v>
          </cell>
        </row>
      </sheetData>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crituresAux"/>
    </sheetNames>
    <sheetDataSet>
      <sheetData sheetId="0">
        <row r="3">
          <cell r="E3" t="str">
            <v xml:space="preserve">0 lignes </v>
          </cell>
        </row>
        <row r="5">
          <cell r="B5" t="str">
            <v>Début</v>
          </cell>
        </row>
      </sheetData>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crituresAux"/>
    </sheetNames>
    <sheetDataSet>
      <sheetData sheetId="0">
        <row r="3">
          <cell r="E3" t="str">
            <v xml:space="preserve">0 lignes </v>
          </cell>
        </row>
        <row r="5">
          <cell r="A5" t="str">
            <v>Type</v>
          </cell>
          <cell r="B5" t="str">
            <v>Début</v>
          </cell>
          <cell r="C5" t="str">
            <v>Fin</v>
          </cell>
        </row>
      </sheetData>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le"/>
      <sheetName val="Document control"/>
      <sheetName val="EMS procedures"/>
      <sheetName val="0 Overview"/>
      <sheetName val="1 Introduction"/>
      <sheetName val="2. Analyse"/>
      <sheetName val="3. SA Procedures"/>
      <sheetName val="4. Test of details"/>
      <sheetName val="5. Test late cut off"/>
      <sheetName val="6. IPE"/>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xlc. Nour-&gt;"/>
      <sheetName val="BoD overview"/>
      <sheetName val="Loans"/>
      <sheetName val="Leases"/>
      <sheetName val="Today's Euribor"/>
      <sheetName val="BOND Calc 2022 draft"/>
    </sheetNames>
    <sheetDataSet>
      <sheetData sheetId="0" refreshError="1"/>
      <sheetData sheetId="1" refreshError="1"/>
      <sheetData sheetId="2">
        <row r="1">
          <cell r="C1">
            <v>1.95583</v>
          </cell>
        </row>
      </sheetData>
      <sheetData sheetId="3" refreshError="1"/>
      <sheetData sheetId="4" refreshError="1"/>
      <sheetData sheetId="5"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B RAS"/>
      <sheetName val="working TB"/>
      <sheetName val="bs"/>
      <sheetName val="pl "/>
      <sheetName val="CF"/>
      <sheetName val="detail PL"/>
      <sheetName val="Aje PWC 2001"/>
      <sheetName val="Aje EY 2002"/>
      <sheetName val="reconc RE"/>
      <sheetName val="TA"/>
      <sheetName val="Recon+Def tax 2002"/>
      <sheetName val="fixed assets"/>
      <sheetName val="Leasing"/>
      <sheetName val="inventories"/>
      <sheetName val="711"/>
      <sheetName val="SK"/>
      <sheetName val="471"/>
      <sheetName val="provisions"/>
      <sheetName val="reserve"/>
      <sheetName val="bs (2)"/>
      <sheetName val="CF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je PWC 2001"/>
    </sheetNames>
    <sheetDataSet>
      <sheetData sheetId="0"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ead"/>
      <sheetName val="Links"/>
      <sheetName val="Tickmarks"/>
    </sheetNames>
    <sheetDataSet>
      <sheetData sheetId="0"/>
      <sheetData sheetId="1">
        <row r="1">
          <cell r="F1" t="str">
            <v>31.12.2012</v>
          </cell>
          <cell r="G1" t="str">
            <v>AJE</v>
          </cell>
          <cell r="H1" t="str">
            <v>Adjusted</v>
          </cell>
          <cell r="I1" t="str">
            <v>RJE</v>
          </cell>
          <cell r="J1" t="str">
            <v>Final</v>
          </cell>
          <cell r="K1" t="str">
            <v>31.12.2011</v>
          </cell>
        </row>
        <row r="3">
          <cell r="F3">
            <v>108440</v>
          </cell>
          <cell r="G3">
            <v>-62714</v>
          </cell>
          <cell r="H3">
            <v>45726</v>
          </cell>
          <cell r="I3">
            <v>0</v>
          </cell>
          <cell r="J3">
            <v>45726</v>
          </cell>
          <cell r="K3">
            <v>63410</v>
          </cell>
        </row>
        <row r="4">
          <cell r="F4">
            <v>3820</v>
          </cell>
          <cell r="G4">
            <v>-3820</v>
          </cell>
          <cell r="H4">
            <v>0</v>
          </cell>
          <cell r="I4">
            <v>0</v>
          </cell>
          <cell r="J4">
            <v>0</v>
          </cell>
          <cell r="K4">
            <v>3892</v>
          </cell>
        </row>
        <row r="5">
          <cell r="F5">
            <v>31466</v>
          </cell>
          <cell r="G5">
            <v>-31466</v>
          </cell>
          <cell r="H5">
            <v>0</v>
          </cell>
          <cell r="I5">
            <v>0</v>
          </cell>
          <cell r="J5">
            <v>0</v>
          </cell>
          <cell r="K5">
            <v>31466</v>
          </cell>
        </row>
        <row r="6">
          <cell r="F6">
            <v>0</v>
          </cell>
          <cell r="G6">
            <v>0</v>
          </cell>
          <cell r="H6">
            <v>0</v>
          </cell>
          <cell r="I6">
            <v>0</v>
          </cell>
          <cell r="J6">
            <v>0</v>
          </cell>
          <cell r="K6">
            <v>0</v>
          </cell>
        </row>
        <row r="7">
          <cell r="F7">
            <v>114209</v>
          </cell>
          <cell r="G7">
            <v>0</v>
          </cell>
          <cell r="H7">
            <v>114209</v>
          </cell>
          <cell r="I7">
            <v>0</v>
          </cell>
          <cell r="J7">
            <v>114209</v>
          </cell>
          <cell r="K7">
            <v>319760</v>
          </cell>
        </row>
        <row r="8">
          <cell r="F8">
            <v>1669</v>
          </cell>
          <cell r="G8">
            <v>0</v>
          </cell>
          <cell r="H8">
            <v>1669</v>
          </cell>
          <cell r="I8">
            <v>0</v>
          </cell>
          <cell r="J8">
            <v>1669</v>
          </cell>
          <cell r="K8">
            <v>5041</v>
          </cell>
        </row>
        <row r="9">
          <cell r="F9">
            <v>38954</v>
          </cell>
          <cell r="G9">
            <v>0</v>
          </cell>
          <cell r="H9">
            <v>38954</v>
          </cell>
          <cell r="I9">
            <v>0</v>
          </cell>
          <cell r="J9">
            <v>38954</v>
          </cell>
          <cell r="K9">
            <v>186488</v>
          </cell>
        </row>
        <row r="10">
          <cell r="F10">
            <v>48</v>
          </cell>
          <cell r="G10">
            <v>0</v>
          </cell>
          <cell r="H10">
            <v>48</v>
          </cell>
          <cell r="I10">
            <v>0</v>
          </cell>
          <cell r="J10">
            <v>48</v>
          </cell>
          <cell r="K10">
            <v>281</v>
          </cell>
        </row>
        <row r="11">
          <cell r="F11">
            <v>1399</v>
          </cell>
          <cell r="G11">
            <v>0</v>
          </cell>
          <cell r="H11">
            <v>1399</v>
          </cell>
          <cell r="I11">
            <v>0</v>
          </cell>
          <cell r="J11">
            <v>1399</v>
          </cell>
          <cell r="K11">
            <v>749</v>
          </cell>
        </row>
        <row r="12">
          <cell r="F12">
            <v>2606</v>
          </cell>
          <cell r="G12">
            <v>0</v>
          </cell>
          <cell r="H12">
            <v>2606</v>
          </cell>
          <cell r="I12">
            <v>0</v>
          </cell>
          <cell r="J12">
            <v>2606</v>
          </cell>
          <cell r="K12">
            <v>3285</v>
          </cell>
        </row>
        <row r="13">
          <cell r="F13">
            <v>439</v>
          </cell>
          <cell r="G13">
            <v>0</v>
          </cell>
          <cell r="H13">
            <v>439</v>
          </cell>
          <cell r="I13">
            <v>0</v>
          </cell>
          <cell r="J13">
            <v>439</v>
          </cell>
          <cell r="K13">
            <v>672</v>
          </cell>
        </row>
        <row r="14">
          <cell r="F14">
            <v>572</v>
          </cell>
          <cell r="G14">
            <v>0</v>
          </cell>
          <cell r="H14">
            <v>572</v>
          </cell>
          <cell r="I14">
            <v>0</v>
          </cell>
          <cell r="J14">
            <v>572</v>
          </cell>
          <cell r="K14">
            <v>893</v>
          </cell>
        </row>
        <row r="15">
          <cell r="F15">
            <v>0</v>
          </cell>
          <cell r="G15">
            <v>0</v>
          </cell>
          <cell r="H15">
            <v>0</v>
          </cell>
          <cell r="I15">
            <v>0</v>
          </cell>
          <cell r="J15">
            <v>0</v>
          </cell>
          <cell r="K15">
            <v>22434</v>
          </cell>
        </row>
        <row r="16">
          <cell r="F16">
            <v>9514</v>
          </cell>
          <cell r="G16">
            <v>0</v>
          </cell>
          <cell r="H16">
            <v>9514</v>
          </cell>
          <cell r="I16">
            <v>0</v>
          </cell>
          <cell r="J16">
            <v>9514</v>
          </cell>
          <cell r="K16">
            <v>2102</v>
          </cell>
        </row>
        <row r="17">
          <cell r="F17">
            <v>14661</v>
          </cell>
          <cell r="G17">
            <v>0</v>
          </cell>
          <cell r="H17">
            <v>14661</v>
          </cell>
          <cell r="I17">
            <v>0</v>
          </cell>
          <cell r="J17">
            <v>14661</v>
          </cell>
          <cell r="K17">
            <v>0</v>
          </cell>
        </row>
        <row r="18">
          <cell r="F18">
            <v>286897</v>
          </cell>
          <cell r="G18">
            <v>0</v>
          </cell>
          <cell r="H18">
            <v>286897</v>
          </cell>
          <cell r="I18">
            <v>0</v>
          </cell>
          <cell r="J18">
            <v>286897</v>
          </cell>
          <cell r="K18">
            <v>1069542</v>
          </cell>
        </row>
        <row r="19">
          <cell r="F19">
            <v>23407</v>
          </cell>
          <cell r="G19">
            <v>0</v>
          </cell>
          <cell r="H19">
            <v>23407</v>
          </cell>
          <cell r="I19">
            <v>0</v>
          </cell>
          <cell r="J19">
            <v>23407</v>
          </cell>
          <cell r="K19">
            <v>0</v>
          </cell>
        </row>
        <row r="20">
          <cell r="F20">
            <v>1081</v>
          </cell>
          <cell r="G20">
            <v>0</v>
          </cell>
          <cell r="H20">
            <v>1081</v>
          </cell>
          <cell r="I20">
            <v>0</v>
          </cell>
          <cell r="J20">
            <v>1081</v>
          </cell>
          <cell r="K20">
            <v>820</v>
          </cell>
        </row>
        <row r="21">
          <cell r="F21">
            <v>110470</v>
          </cell>
          <cell r="G21">
            <v>0</v>
          </cell>
          <cell r="H21">
            <v>110470</v>
          </cell>
          <cell r="I21">
            <v>0</v>
          </cell>
          <cell r="J21">
            <v>110470</v>
          </cell>
          <cell r="K21">
            <v>8148</v>
          </cell>
        </row>
        <row r="22">
          <cell r="F22">
            <v>0</v>
          </cell>
          <cell r="G22">
            <v>0</v>
          </cell>
          <cell r="H22">
            <v>0</v>
          </cell>
          <cell r="I22">
            <v>0</v>
          </cell>
          <cell r="J22">
            <v>0</v>
          </cell>
          <cell r="K22">
            <v>57</v>
          </cell>
        </row>
        <row r="23">
          <cell r="F23">
            <v>809</v>
          </cell>
          <cell r="G23">
            <v>0</v>
          </cell>
          <cell r="H23">
            <v>809</v>
          </cell>
          <cell r="I23">
            <v>0</v>
          </cell>
          <cell r="J23">
            <v>809</v>
          </cell>
          <cell r="K23">
            <v>6570</v>
          </cell>
        </row>
        <row r="24">
          <cell r="F24">
            <v>25455</v>
          </cell>
          <cell r="G24">
            <v>0</v>
          </cell>
          <cell r="H24">
            <v>25455</v>
          </cell>
          <cell r="I24">
            <v>0</v>
          </cell>
          <cell r="J24">
            <v>25455</v>
          </cell>
          <cell r="K24">
            <v>25806</v>
          </cell>
        </row>
        <row r="25">
          <cell r="F25">
            <v>604</v>
          </cell>
          <cell r="G25">
            <v>0</v>
          </cell>
          <cell r="H25">
            <v>604</v>
          </cell>
          <cell r="I25">
            <v>0</v>
          </cell>
          <cell r="J25">
            <v>604</v>
          </cell>
          <cell r="K25">
            <v>1194</v>
          </cell>
        </row>
        <row r="26">
          <cell r="F26">
            <v>472</v>
          </cell>
          <cell r="G26">
            <v>0</v>
          </cell>
          <cell r="H26">
            <v>472</v>
          </cell>
          <cell r="I26">
            <v>0</v>
          </cell>
          <cell r="J26">
            <v>472</v>
          </cell>
          <cell r="K26">
            <v>570</v>
          </cell>
        </row>
        <row r="27">
          <cell r="F27">
            <v>2</v>
          </cell>
          <cell r="G27">
            <v>0</v>
          </cell>
          <cell r="H27">
            <v>2</v>
          </cell>
          <cell r="I27">
            <v>0</v>
          </cell>
          <cell r="J27">
            <v>2</v>
          </cell>
          <cell r="K27">
            <v>333</v>
          </cell>
        </row>
        <row r="28">
          <cell r="F28">
            <v>85</v>
          </cell>
          <cell r="G28">
            <v>0</v>
          </cell>
          <cell r="H28">
            <v>85</v>
          </cell>
          <cell r="I28">
            <v>0</v>
          </cell>
          <cell r="J28">
            <v>85</v>
          </cell>
          <cell r="K28">
            <v>77</v>
          </cell>
        </row>
        <row r="29">
          <cell r="F29">
            <v>1</v>
          </cell>
          <cell r="G29">
            <v>0</v>
          </cell>
          <cell r="H29">
            <v>1</v>
          </cell>
          <cell r="I29">
            <v>0</v>
          </cell>
          <cell r="J29">
            <v>1</v>
          </cell>
          <cell r="K29">
            <v>1</v>
          </cell>
        </row>
        <row r="30">
          <cell r="F30">
            <v>11444</v>
          </cell>
          <cell r="G30">
            <v>0</v>
          </cell>
          <cell r="H30">
            <v>11444</v>
          </cell>
          <cell r="I30">
            <v>0</v>
          </cell>
          <cell r="J30">
            <v>11444</v>
          </cell>
          <cell r="K30">
            <v>19483</v>
          </cell>
        </row>
        <row r="31">
          <cell r="F31">
            <v>7056</v>
          </cell>
          <cell r="G31">
            <v>0</v>
          </cell>
          <cell r="H31">
            <v>7056</v>
          </cell>
          <cell r="I31">
            <v>0</v>
          </cell>
          <cell r="J31">
            <v>7056</v>
          </cell>
          <cell r="K31">
            <v>7503</v>
          </cell>
        </row>
        <row r="32">
          <cell r="F32">
            <v>147</v>
          </cell>
          <cell r="G32">
            <v>0</v>
          </cell>
          <cell r="H32">
            <v>147</v>
          </cell>
          <cell r="I32">
            <v>0</v>
          </cell>
          <cell r="J32">
            <v>147</v>
          </cell>
          <cell r="K32">
            <v>147</v>
          </cell>
        </row>
        <row r="33">
          <cell r="F33">
            <v>914058</v>
          </cell>
          <cell r="G33">
            <v>0</v>
          </cell>
          <cell r="H33">
            <v>914058</v>
          </cell>
          <cell r="I33">
            <v>0</v>
          </cell>
          <cell r="J33">
            <v>914058</v>
          </cell>
          <cell r="K33">
            <v>845775</v>
          </cell>
        </row>
        <row r="34">
          <cell r="F34">
            <v>5338</v>
          </cell>
          <cell r="G34">
            <v>0</v>
          </cell>
          <cell r="H34">
            <v>5338</v>
          </cell>
          <cell r="I34">
            <v>0</v>
          </cell>
          <cell r="J34">
            <v>5338</v>
          </cell>
          <cell r="K34">
            <v>5742</v>
          </cell>
        </row>
        <row r="35">
          <cell r="F35">
            <v>75548</v>
          </cell>
          <cell r="G35">
            <v>0</v>
          </cell>
          <cell r="H35">
            <v>75548</v>
          </cell>
          <cell r="I35">
            <v>0</v>
          </cell>
          <cell r="J35">
            <v>75548</v>
          </cell>
          <cell r="K35">
            <v>80070</v>
          </cell>
        </row>
        <row r="36">
          <cell r="F36">
            <v>0</v>
          </cell>
          <cell r="G36">
            <v>0</v>
          </cell>
          <cell r="H36">
            <v>0</v>
          </cell>
          <cell r="I36">
            <v>0</v>
          </cell>
          <cell r="J36">
            <v>0</v>
          </cell>
          <cell r="K36">
            <v>194</v>
          </cell>
        </row>
        <row r="37">
          <cell r="F37">
            <v>-24</v>
          </cell>
          <cell r="G37">
            <v>0</v>
          </cell>
          <cell r="H37">
            <v>-24</v>
          </cell>
          <cell r="I37">
            <v>0</v>
          </cell>
          <cell r="J37">
            <v>-24</v>
          </cell>
          <cell r="K37">
            <v>-183</v>
          </cell>
        </row>
        <row r="38">
          <cell r="F38">
            <v>3</v>
          </cell>
          <cell r="G38">
            <v>0</v>
          </cell>
          <cell r="H38">
            <v>3</v>
          </cell>
          <cell r="I38">
            <v>0</v>
          </cell>
          <cell r="J38">
            <v>3</v>
          </cell>
          <cell r="K38">
            <v>26</v>
          </cell>
        </row>
        <row r="39">
          <cell r="F39">
            <v>1499</v>
          </cell>
          <cell r="G39">
            <v>0</v>
          </cell>
          <cell r="H39">
            <v>1499</v>
          </cell>
          <cell r="I39">
            <v>0</v>
          </cell>
          <cell r="J39">
            <v>1499</v>
          </cell>
          <cell r="K39">
            <v>1777</v>
          </cell>
        </row>
        <row r="40">
          <cell r="F40">
            <v>11726</v>
          </cell>
          <cell r="G40">
            <v>0</v>
          </cell>
          <cell r="H40">
            <v>11726</v>
          </cell>
          <cell r="I40">
            <v>0</v>
          </cell>
          <cell r="J40">
            <v>11726</v>
          </cell>
          <cell r="K40">
            <v>7200</v>
          </cell>
        </row>
        <row r="41">
          <cell r="F41">
            <v>6501</v>
          </cell>
          <cell r="G41">
            <v>0</v>
          </cell>
          <cell r="H41">
            <v>6501</v>
          </cell>
          <cell r="I41">
            <v>0</v>
          </cell>
          <cell r="J41">
            <v>6501</v>
          </cell>
          <cell r="K41">
            <v>3836</v>
          </cell>
        </row>
        <row r="42">
          <cell r="F42">
            <v>372</v>
          </cell>
          <cell r="G42">
            <v>0</v>
          </cell>
          <cell r="H42">
            <v>372</v>
          </cell>
          <cell r="I42">
            <v>0</v>
          </cell>
          <cell r="J42">
            <v>372</v>
          </cell>
          <cell r="K42">
            <v>1609</v>
          </cell>
        </row>
        <row r="43">
          <cell r="F43">
            <v>0</v>
          </cell>
          <cell r="G43">
            <v>0</v>
          </cell>
          <cell r="H43">
            <v>0</v>
          </cell>
          <cell r="I43">
            <v>0</v>
          </cell>
          <cell r="J43">
            <v>0</v>
          </cell>
          <cell r="K43">
            <v>0</v>
          </cell>
        </row>
        <row r="44">
          <cell r="F44">
            <v>1810748</v>
          </cell>
          <cell r="G44">
            <v>-98000</v>
          </cell>
          <cell r="H44">
            <v>1712748</v>
          </cell>
          <cell r="I44">
            <v>0</v>
          </cell>
          <cell r="J44">
            <v>1712748</v>
          </cell>
          <cell r="K44">
            <v>2726770</v>
          </cell>
        </row>
        <row r="46">
          <cell r="F46">
            <v>44337003</v>
          </cell>
          <cell r="G46">
            <v>-2326000</v>
          </cell>
          <cell r="H46">
            <v>42011003</v>
          </cell>
          <cell r="I46">
            <v>0</v>
          </cell>
          <cell r="J46">
            <v>42011003</v>
          </cell>
          <cell r="K46">
            <v>44337003</v>
          </cell>
        </row>
        <row r="47">
          <cell r="F47">
            <v>193627</v>
          </cell>
          <cell r="G47">
            <v>0</v>
          </cell>
          <cell r="H47">
            <v>193627</v>
          </cell>
          <cell r="I47">
            <v>0</v>
          </cell>
          <cell r="J47">
            <v>193627</v>
          </cell>
          <cell r="K47">
            <v>193627</v>
          </cell>
        </row>
        <row r="48">
          <cell r="F48">
            <v>20</v>
          </cell>
          <cell r="G48">
            <v>0</v>
          </cell>
          <cell r="H48">
            <v>20</v>
          </cell>
          <cell r="I48">
            <v>0</v>
          </cell>
          <cell r="J48">
            <v>20</v>
          </cell>
          <cell r="K48">
            <v>20</v>
          </cell>
        </row>
        <row r="49">
          <cell r="F49">
            <v>44530650</v>
          </cell>
          <cell r="G49">
            <v>-2326000</v>
          </cell>
          <cell r="H49">
            <v>42204650</v>
          </cell>
          <cell r="I49">
            <v>0</v>
          </cell>
          <cell r="J49">
            <v>42204650</v>
          </cell>
          <cell r="K49">
            <v>44530650</v>
          </cell>
        </row>
        <row r="51">
          <cell r="F51">
            <v>408939</v>
          </cell>
          <cell r="G51">
            <v>-409000</v>
          </cell>
          <cell r="H51">
            <v>-61</v>
          </cell>
          <cell r="I51">
            <v>0</v>
          </cell>
          <cell r="J51">
            <v>-61</v>
          </cell>
          <cell r="K51">
            <v>815039</v>
          </cell>
        </row>
        <row r="52">
          <cell r="F52">
            <v>408939</v>
          </cell>
          <cell r="G52">
            <v>-409000</v>
          </cell>
          <cell r="H52">
            <v>-61</v>
          </cell>
          <cell r="I52">
            <v>0</v>
          </cell>
          <cell r="J52">
            <v>-61</v>
          </cell>
          <cell r="K52">
            <v>815039</v>
          </cell>
        </row>
        <row r="54">
          <cell r="F54">
            <v>26946</v>
          </cell>
          <cell r="G54">
            <v>0</v>
          </cell>
          <cell r="H54">
            <v>26946</v>
          </cell>
          <cell r="I54">
            <v>0</v>
          </cell>
          <cell r="J54">
            <v>26946</v>
          </cell>
          <cell r="K54">
            <v>87475</v>
          </cell>
        </row>
        <row r="55">
          <cell r="F55">
            <v>154743</v>
          </cell>
          <cell r="G55">
            <v>0</v>
          </cell>
          <cell r="H55">
            <v>154743</v>
          </cell>
          <cell r="I55">
            <v>0</v>
          </cell>
          <cell r="J55">
            <v>154743</v>
          </cell>
          <cell r="K55">
            <v>25591</v>
          </cell>
        </row>
        <row r="56">
          <cell r="F56">
            <v>42319</v>
          </cell>
          <cell r="G56">
            <v>0</v>
          </cell>
          <cell r="H56">
            <v>42319</v>
          </cell>
          <cell r="I56">
            <v>0</v>
          </cell>
          <cell r="J56">
            <v>42319</v>
          </cell>
          <cell r="K56">
            <v>549784</v>
          </cell>
        </row>
        <row r="57">
          <cell r="F57">
            <v>0</v>
          </cell>
          <cell r="G57">
            <v>0</v>
          </cell>
          <cell r="H57">
            <v>0</v>
          </cell>
          <cell r="I57">
            <v>0</v>
          </cell>
          <cell r="J57">
            <v>0</v>
          </cell>
          <cell r="K57">
            <v>21747</v>
          </cell>
        </row>
        <row r="58">
          <cell r="F58">
            <v>4526404</v>
          </cell>
          <cell r="G58">
            <v>-2678000</v>
          </cell>
          <cell r="H58">
            <v>1848404</v>
          </cell>
          <cell r="I58">
            <v>0</v>
          </cell>
          <cell r="J58">
            <v>1848404</v>
          </cell>
          <cell r="K58">
            <v>4125131</v>
          </cell>
        </row>
        <row r="59">
          <cell r="F59">
            <v>20891</v>
          </cell>
          <cell r="G59">
            <v>0</v>
          </cell>
          <cell r="H59">
            <v>20891</v>
          </cell>
          <cell r="I59">
            <v>0</v>
          </cell>
          <cell r="J59">
            <v>20891</v>
          </cell>
          <cell r="K59">
            <v>0</v>
          </cell>
        </row>
        <row r="60">
          <cell r="F60">
            <v>22825239</v>
          </cell>
          <cell r="G60">
            <v>0</v>
          </cell>
          <cell r="H60">
            <v>22825239</v>
          </cell>
          <cell r="I60">
            <v>0</v>
          </cell>
          <cell r="J60">
            <v>22825239</v>
          </cell>
          <cell r="K60">
            <v>20160451</v>
          </cell>
        </row>
        <row r="61">
          <cell r="F61">
            <v>0</v>
          </cell>
          <cell r="G61">
            <v>0</v>
          </cell>
          <cell r="H61">
            <v>0</v>
          </cell>
          <cell r="I61">
            <v>0</v>
          </cell>
          <cell r="J61">
            <v>0</v>
          </cell>
          <cell r="K61">
            <v>0</v>
          </cell>
        </row>
        <row r="62">
          <cell r="F62">
            <v>27596542</v>
          </cell>
          <cell r="G62">
            <v>-2678000</v>
          </cell>
          <cell r="H62">
            <v>24918542</v>
          </cell>
          <cell r="I62">
            <v>0</v>
          </cell>
          <cell r="J62">
            <v>24918542</v>
          </cell>
          <cell r="K62">
            <v>24970179</v>
          </cell>
        </row>
        <row r="64">
          <cell r="F64">
            <v>0</v>
          </cell>
          <cell r="G64">
            <v>0</v>
          </cell>
          <cell r="H64">
            <v>0</v>
          </cell>
          <cell r="I64">
            <v>0</v>
          </cell>
          <cell r="J64">
            <v>0</v>
          </cell>
          <cell r="K64">
            <v>0</v>
          </cell>
        </row>
        <row r="66">
          <cell r="F66">
            <v>6815119</v>
          </cell>
          <cell r="G66">
            <v>-4660000</v>
          </cell>
          <cell r="H66">
            <v>2155119</v>
          </cell>
          <cell r="I66">
            <v>0</v>
          </cell>
          <cell r="J66">
            <v>2155119</v>
          </cell>
          <cell r="K66">
            <v>2446304</v>
          </cell>
        </row>
        <row r="67">
          <cell r="F67">
            <v>805224</v>
          </cell>
          <cell r="G67">
            <v>0</v>
          </cell>
          <cell r="H67">
            <v>805224</v>
          </cell>
          <cell r="I67">
            <v>0</v>
          </cell>
          <cell r="J67">
            <v>805224</v>
          </cell>
          <cell r="K67">
            <v>1836298</v>
          </cell>
        </row>
        <row r="68">
          <cell r="F68">
            <v>846463</v>
          </cell>
          <cell r="G68">
            <v>5010</v>
          </cell>
          <cell r="H68">
            <v>851473</v>
          </cell>
          <cell r="I68">
            <v>0</v>
          </cell>
          <cell r="J68">
            <v>851473</v>
          </cell>
          <cell r="K68">
            <v>392682</v>
          </cell>
        </row>
        <row r="69">
          <cell r="F69">
            <v>1128637</v>
          </cell>
          <cell r="G69">
            <v>0</v>
          </cell>
          <cell r="H69">
            <v>1128637</v>
          </cell>
          <cell r="I69">
            <v>0</v>
          </cell>
          <cell r="J69">
            <v>1128637</v>
          </cell>
          <cell r="K69">
            <v>2032853</v>
          </cell>
        </row>
        <row r="70">
          <cell r="F70">
            <v>690409</v>
          </cell>
          <cell r="G70">
            <v>0</v>
          </cell>
          <cell r="H70">
            <v>690409</v>
          </cell>
          <cell r="I70">
            <v>0</v>
          </cell>
          <cell r="J70">
            <v>690409</v>
          </cell>
          <cell r="K70">
            <v>438236</v>
          </cell>
        </row>
        <row r="71">
          <cell r="F71">
            <v>58956</v>
          </cell>
          <cell r="G71">
            <v>0</v>
          </cell>
          <cell r="H71">
            <v>58956</v>
          </cell>
          <cell r="I71">
            <v>0</v>
          </cell>
          <cell r="J71">
            <v>58956</v>
          </cell>
          <cell r="K71">
            <v>274085</v>
          </cell>
        </row>
        <row r="72">
          <cell r="F72">
            <v>10344808</v>
          </cell>
          <cell r="G72">
            <v>-4654990</v>
          </cell>
          <cell r="H72">
            <v>5689818</v>
          </cell>
          <cell r="I72">
            <v>0</v>
          </cell>
          <cell r="J72">
            <v>5689818</v>
          </cell>
          <cell r="K72">
            <v>7420458</v>
          </cell>
        </row>
        <row r="74">
          <cell r="F74">
            <v>20336225</v>
          </cell>
          <cell r="G74">
            <v>18809000</v>
          </cell>
          <cell r="H74">
            <v>39145225</v>
          </cell>
          <cell r="I74">
            <v>0</v>
          </cell>
          <cell r="J74">
            <v>39145225</v>
          </cell>
          <cell r="K74">
            <v>36026986</v>
          </cell>
        </row>
        <row r="75">
          <cell r="F75">
            <v>20336225</v>
          </cell>
          <cell r="G75">
            <v>18809000</v>
          </cell>
          <cell r="H75">
            <v>39145225</v>
          </cell>
          <cell r="I75">
            <v>0</v>
          </cell>
          <cell r="J75">
            <v>39145225</v>
          </cell>
          <cell r="K75">
            <v>36026986</v>
          </cell>
        </row>
        <row r="77">
          <cell r="F77">
            <v>0</v>
          </cell>
          <cell r="G77">
            <v>0</v>
          </cell>
          <cell r="H77">
            <v>0</v>
          </cell>
          <cell r="I77">
            <v>0</v>
          </cell>
          <cell r="J77">
            <v>0</v>
          </cell>
          <cell r="K77">
            <v>0</v>
          </cell>
        </row>
        <row r="78">
          <cell r="F78">
            <v>0</v>
          </cell>
          <cell r="G78">
            <v>0</v>
          </cell>
          <cell r="H78">
            <v>0</v>
          </cell>
          <cell r="I78">
            <v>0</v>
          </cell>
          <cell r="J78">
            <v>0</v>
          </cell>
          <cell r="K78">
            <v>0</v>
          </cell>
        </row>
        <row r="79">
          <cell r="F79">
            <v>0</v>
          </cell>
          <cell r="G79">
            <v>0</v>
          </cell>
          <cell r="H79">
            <v>0</v>
          </cell>
          <cell r="I79">
            <v>0</v>
          </cell>
          <cell r="J79">
            <v>0</v>
          </cell>
          <cell r="K79">
            <v>0</v>
          </cell>
        </row>
        <row r="80">
          <cell r="F80">
            <v>4199696</v>
          </cell>
          <cell r="G80">
            <v>0</v>
          </cell>
          <cell r="H80">
            <v>4199696</v>
          </cell>
          <cell r="I80">
            <v>0</v>
          </cell>
          <cell r="J80">
            <v>4199696</v>
          </cell>
          <cell r="K80">
            <v>3305085</v>
          </cell>
        </row>
        <row r="81">
          <cell r="F81">
            <v>4199696</v>
          </cell>
          <cell r="G81">
            <v>0</v>
          </cell>
          <cell r="H81">
            <v>4199696</v>
          </cell>
          <cell r="I81">
            <v>0</v>
          </cell>
          <cell r="J81">
            <v>4199696</v>
          </cell>
          <cell r="K81">
            <v>3305085</v>
          </cell>
        </row>
        <row r="83">
          <cell r="F83">
            <v>204894</v>
          </cell>
          <cell r="G83">
            <v>0</v>
          </cell>
          <cell r="H83">
            <v>204894</v>
          </cell>
          <cell r="I83">
            <v>0</v>
          </cell>
          <cell r="J83">
            <v>204894</v>
          </cell>
          <cell r="K83">
            <v>198191</v>
          </cell>
        </row>
        <row r="84">
          <cell r="F84">
            <v>204894</v>
          </cell>
          <cell r="G84">
            <v>0</v>
          </cell>
          <cell r="H84">
            <v>204894</v>
          </cell>
          <cell r="I84">
            <v>0</v>
          </cell>
          <cell r="J84">
            <v>204894</v>
          </cell>
          <cell r="K84">
            <v>198191</v>
          </cell>
        </row>
        <row r="86">
          <cell r="F86">
            <v>-74375</v>
          </cell>
          <cell r="G86">
            <v>-687287</v>
          </cell>
          <cell r="H86">
            <v>-761662</v>
          </cell>
          <cell r="I86">
            <v>0</v>
          </cell>
          <cell r="J86">
            <v>-761662</v>
          </cell>
          <cell r="K86">
            <v>21895</v>
          </cell>
        </row>
        <row r="87">
          <cell r="F87">
            <v>-74375</v>
          </cell>
          <cell r="G87">
            <v>-687287</v>
          </cell>
          <cell r="H87">
            <v>-761662</v>
          </cell>
          <cell r="I87">
            <v>0</v>
          </cell>
          <cell r="J87">
            <v>-761662</v>
          </cell>
          <cell r="K87">
            <v>21895</v>
          </cell>
        </row>
        <row r="89">
          <cell r="F89">
            <v>162348</v>
          </cell>
          <cell r="G89">
            <v>0</v>
          </cell>
          <cell r="H89">
            <v>162348</v>
          </cell>
          <cell r="I89">
            <v>0</v>
          </cell>
          <cell r="J89">
            <v>162348</v>
          </cell>
          <cell r="K89">
            <v>137486</v>
          </cell>
        </row>
        <row r="90">
          <cell r="F90">
            <v>162348</v>
          </cell>
          <cell r="G90">
            <v>0</v>
          </cell>
          <cell r="H90">
            <v>162348</v>
          </cell>
          <cell r="I90">
            <v>0</v>
          </cell>
          <cell r="J90">
            <v>162348</v>
          </cell>
          <cell r="K90">
            <v>137486</v>
          </cell>
        </row>
        <row r="92">
          <cell r="F92">
            <v>101584</v>
          </cell>
          <cell r="G92">
            <v>6425</v>
          </cell>
          <cell r="H92">
            <v>108009</v>
          </cell>
          <cell r="I92">
            <v>0</v>
          </cell>
          <cell r="J92">
            <v>108009</v>
          </cell>
          <cell r="K92">
            <v>37</v>
          </cell>
        </row>
        <row r="93">
          <cell r="F93">
            <v>114</v>
          </cell>
          <cell r="G93">
            <v>0</v>
          </cell>
          <cell r="H93">
            <v>114</v>
          </cell>
          <cell r="I93">
            <v>0</v>
          </cell>
          <cell r="J93">
            <v>114</v>
          </cell>
          <cell r="K93">
            <v>215141</v>
          </cell>
        </row>
        <row r="94">
          <cell r="F94">
            <v>101698</v>
          </cell>
          <cell r="G94">
            <v>6425</v>
          </cell>
          <cell r="H94">
            <v>108123</v>
          </cell>
          <cell r="I94">
            <v>0</v>
          </cell>
          <cell r="J94">
            <v>108123</v>
          </cell>
          <cell r="K94">
            <v>215178</v>
          </cell>
        </row>
        <row r="96">
          <cell r="F96">
            <v>118221</v>
          </cell>
          <cell r="G96">
            <v>0</v>
          </cell>
          <cell r="H96">
            <v>118221</v>
          </cell>
          <cell r="I96">
            <v>0</v>
          </cell>
          <cell r="J96">
            <v>118221</v>
          </cell>
          <cell r="K96">
            <v>133624</v>
          </cell>
        </row>
        <row r="97">
          <cell r="F97">
            <v>118221</v>
          </cell>
          <cell r="G97">
            <v>0</v>
          </cell>
          <cell r="H97">
            <v>118221</v>
          </cell>
          <cell r="I97">
            <v>0</v>
          </cell>
          <cell r="J97">
            <v>118221</v>
          </cell>
          <cell r="K97">
            <v>133624</v>
          </cell>
        </row>
        <row r="99">
          <cell r="F99">
            <v>2244719</v>
          </cell>
          <cell r="G99">
            <v>390000</v>
          </cell>
          <cell r="H99">
            <v>2634719</v>
          </cell>
          <cell r="I99">
            <v>0</v>
          </cell>
          <cell r="J99">
            <v>2634719</v>
          </cell>
          <cell r="K99">
            <v>2909742</v>
          </cell>
        </row>
        <row r="100">
          <cell r="F100">
            <v>2244719</v>
          </cell>
          <cell r="G100">
            <v>390000</v>
          </cell>
          <cell r="H100">
            <v>2634719</v>
          </cell>
          <cell r="I100">
            <v>0</v>
          </cell>
          <cell r="J100">
            <v>2634719</v>
          </cell>
          <cell r="K100">
            <v>2909742</v>
          </cell>
        </row>
        <row r="102">
          <cell r="F102">
            <v>132749</v>
          </cell>
          <cell r="G102">
            <v>-4286</v>
          </cell>
          <cell r="H102">
            <v>128463</v>
          </cell>
          <cell r="I102">
            <v>0</v>
          </cell>
          <cell r="J102">
            <v>128463</v>
          </cell>
          <cell r="K102">
            <v>85585</v>
          </cell>
        </row>
        <row r="103">
          <cell r="F103">
            <v>132749</v>
          </cell>
          <cell r="G103">
            <v>-4286</v>
          </cell>
          <cell r="H103">
            <v>128463</v>
          </cell>
          <cell r="I103">
            <v>0</v>
          </cell>
          <cell r="J103">
            <v>128463</v>
          </cell>
          <cell r="K103">
            <v>85585</v>
          </cell>
        </row>
        <row r="105">
          <cell r="F105">
            <v>247949</v>
          </cell>
          <cell r="G105">
            <v>0</v>
          </cell>
          <cell r="H105">
            <v>247949</v>
          </cell>
          <cell r="I105">
            <v>0</v>
          </cell>
          <cell r="J105">
            <v>247949</v>
          </cell>
          <cell r="K105">
            <v>0</v>
          </cell>
        </row>
        <row r="106">
          <cell r="F106">
            <v>2411087</v>
          </cell>
          <cell r="G106">
            <v>0</v>
          </cell>
          <cell r="H106">
            <v>2411087</v>
          </cell>
          <cell r="I106">
            <v>0</v>
          </cell>
          <cell r="J106">
            <v>2411087</v>
          </cell>
          <cell r="K106">
            <v>1834361</v>
          </cell>
        </row>
        <row r="107">
          <cell r="F107">
            <v>1210735</v>
          </cell>
          <cell r="G107">
            <v>0</v>
          </cell>
          <cell r="H107">
            <v>1210735</v>
          </cell>
          <cell r="I107">
            <v>0</v>
          </cell>
          <cell r="J107">
            <v>1210735</v>
          </cell>
          <cell r="K107">
            <v>759814</v>
          </cell>
        </row>
        <row r="108">
          <cell r="F108">
            <v>19541</v>
          </cell>
          <cell r="G108">
            <v>0</v>
          </cell>
          <cell r="H108">
            <v>19541</v>
          </cell>
          <cell r="I108">
            <v>0</v>
          </cell>
          <cell r="J108">
            <v>19541</v>
          </cell>
          <cell r="K108">
            <v>3030</v>
          </cell>
        </row>
        <row r="109">
          <cell r="F109">
            <v>353396</v>
          </cell>
          <cell r="G109">
            <v>0</v>
          </cell>
          <cell r="H109">
            <v>353396</v>
          </cell>
          <cell r="I109">
            <v>0</v>
          </cell>
          <cell r="J109">
            <v>353396</v>
          </cell>
          <cell r="K109">
            <v>358478</v>
          </cell>
        </row>
        <row r="110">
          <cell r="F110">
            <v>128945</v>
          </cell>
          <cell r="G110">
            <v>0</v>
          </cell>
          <cell r="H110">
            <v>128945</v>
          </cell>
          <cell r="I110">
            <v>0</v>
          </cell>
          <cell r="J110">
            <v>128945</v>
          </cell>
          <cell r="K110">
            <v>0</v>
          </cell>
        </row>
        <row r="111">
          <cell r="F111">
            <v>4371653</v>
          </cell>
          <cell r="G111">
            <v>0</v>
          </cell>
          <cell r="H111">
            <v>4371653</v>
          </cell>
          <cell r="I111">
            <v>0</v>
          </cell>
          <cell r="J111">
            <v>4371653</v>
          </cell>
          <cell r="K111">
            <v>2955683</v>
          </cell>
        </row>
        <row r="113">
          <cell r="F113">
            <v>16446327</v>
          </cell>
          <cell r="G113">
            <v>0</v>
          </cell>
          <cell r="H113">
            <v>16446327</v>
          </cell>
          <cell r="I113">
            <v>0</v>
          </cell>
          <cell r="J113">
            <v>16446327</v>
          </cell>
          <cell r="K113">
            <v>16110615</v>
          </cell>
        </row>
        <row r="114">
          <cell r="F114">
            <v>16446327</v>
          </cell>
          <cell r="G114">
            <v>0</v>
          </cell>
          <cell r="H114">
            <v>16446327</v>
          </cell>
          <cell r="I114">
            <v>0</v>
          </cell>
          <cell r="J114">
            <v>16446327</v>
          </cell>
          <cell r="K114">
            <v>16110615</v>
          </cell>
        </row>
        <row r="116">
          <cell r="F116">
            <v>4678196</v>
          </cell>
          <cell r="G116">
            <v>0</v>
          </cell>
          <cell r="H116">
            <v>4678196</v>
          </cell>
          <cell r="I116">
            <v>0</v>
          </cell>
          <cell r="J116">
            <v>4678196</v>
          </cell>
          <cell r="K116">
            <v>4038196</v>
          </cell>
        </row>
        <row r="117">
          <cell r="F117">
            <v>4678196</v>
          </cell>
          <cell r="G117">
            <v>0</v>
          </cell>
          <cell r="H117">
            <v>4678196</v>
          </cell>
          <cell r="I117">
            <v>0</v>
          </cell>
          <cell r="J117">
            <v>4678196</v>
          </cell>
          <cell r="K117">
            <v>4038196</v>
          </cell>
        </row>
        <row r="119">
          <cell r="F119">
            <v>10934302</v>
          </cell>
          <cell r="G119">
            <v>-1653000</v>
          </cell>
          <cell r="H119">
            <v>9281302</v>
          </cell>
          <cell r="I119">
            <v>0</v>
          </cell>
          <cell r="J119">
            <v>9281302</v>
          </cell>
          <cell r="K119">
            <v>10698797</v>
          </cell>
        </row>
        <row r="120">
          <cell r="F120">
            <v>-2201438</v>
          </cell>
          <cell r="G120">
            <v>0</v>
          </cell>
          <cell r="H120">
            <v>-2201438</v>
          </cell>
          <cell r="I120">
            <v>0</v>
          </cell>
          <cell r="J120">
            <v>-2201438</v>
          </cell>
          <cell r="K120">
            <v>-1823145</v>
          </cell>
        </row>
        <row r="121">
          <cell r="F121">
            <v>8732864</v>
          </cell>
          <cell r="G121">
            <v>-1653000</v>
          </cell>
          <cell r="H121">
            <v>7079864</v>
          </cell>
          <cell r="I121">
            <v>0</v>
          </cell>
          <cell r="J121">
            <v>7079864</v>
          </cell>
          <cell r="K121">
            <v>8875652</v>
          </cell>
        </row>
        <row r="123">
          <cell r="F123">
            <v>85980</v>
          </cell>
          <cell r="G123">
            <v>0</v>
          </cell>
          <cell r="H123">
            <v>85980</v>
          </cell>
          <cell r="I123">
            <v>0</v>
          </cell>
          <cell r="J123">
            <v>85980</v>
          </cell>
          <cell r="K123">
            <v>85980</v>
          </cell>
        </row>
        <row r="124">
          <cell r="F124">
            <v>52975881</v>
          </cell>
          <cell r="G124">
            <v>-230000</v>
          </cell>
          <cell r="H124">
            <v>52745881</v>
          </cell>
          <cell r="I124">
            <v>0</v>
          </cell>
          <cell r="J124">
            <v>52745881</v>
          </cell>
          <cell r="K124">
            <v>51122981</v>
          </cell>
        </row>
        <row r="125">
          <cell r="F125">
            <v>1362850</v>
          </cell>
          <cell r="G125">
            <v>0</v>
          </cell>
          <cell r="H125">
            <v>1362850</v>
          </cell>
          <cell r="I125">
            <v>0</v>
          </cell>
          <cell r="J125">
            <v>1362850</v>
          </cell>
          <cell r="K125">
            <v>1463455</v>
          </cell>
        </row>
        <row r="126">
          <cell r="F126">
            <v>720718</v>
          </cell>
          <cell r="G126">
            <v>0</v>
          </cell>
          <cell r="H126">
            <v>720718</v>
          </cell>
          <cell r="I126">
            <v>0</v>
          </cell>
          <cell r="J126">
            <v>720718</v>
          </cell>
          <cell r="K126">
            <v>701100</v>
          </cell>
        </row>
        <row r="127">
          <cell r="F127">
            <v>833864</v>
          </cell>
          <cell r="G127">
            <v>0</v>
          </cell>
          <cell r="H127">
            <v>833864</v>
          </cell>
          <cell r="I127">
            <v>0</v>
          </cell>
          <cell r="J127">
            <v>833864</v>
          </cell>
          <cell r="K127">
            <v>823825</v>
          </cell>
        </row>
        <row r="128">
          <cell r="F128">
            <v>-53189</v>
          </cell>
          <cell r="G128">
            <v>0</v>
          </cell>
          <cell r="H128">
            <v>-53189</v>
          </cell>
          <cell r="I128">
            <v>0</v>
          </cell>
          <cell r="J128">
            <v>-53189</v>
          </cell>
          <cell r="K128">
            <v>-49073</v>
          </cell>
        </row>
        <row r="129">
          <cell r="F129">
            <v>-31702501</v>
          </cell>
          <cell r="G129">
            <v>0</v>
          </cell>
          <cell r="H129">
            <v>-31702501</v>
          </cell>
          <cell r="I129">
            <v>0</v>
          </cell>
          <cell r="J129">
            <v>-31702501</v>
          </cell>
          <cell r="K129">
            <v>-28008211</v>
          </cell>
        </row>
        <row r="130">
          <cell r="F130">
            <v>-1082668</v>
          </cell>
          <cell r="G130">
            <v>0</v>
          </cell>
          <cell r="H130">
            <v>-1082668</v>
          </cell>
          <cell r="I130">
            <v>0</v>
          </cell>
          <cell r="J130">
            <v>-1082668</v>
          </cell>
          <cell r="K130">
            <v>-1128023</v>
          </cell>
        </row>
        <row r="131">
          <cell r="F131">
            <v>-578455</v>
          </cell>
          <cell r="G131">
            <v>0</v>
          </cell>
          <cell r="H131">
            <v>-578455</v>
          </cell>
          <cell r="I131">
            <v>0</v>
          </cell>
          <cell r="J131">
            <v>-578455</v>
          </cell>
          <cell r="K131">
            <v>-545738</v>
          </cell>
        </row>
        <row r="132">
          <cell r="F132">
            <v>-850095</v>
          </cell>
          <cell r="G132">
            <v>0</v>
          </cell>
          <cell r="H132">
            <v>-850095</v>
          </cell>
          <cell r="I132">
            <v>0</v>
          </cell>
          <cell r="J132">
            <v>-850095</v>
          </cell>
          <cell r="K132">
            <v>-770383</v>
          </cell>
        </row>
        <row r="133">
          <cell r="F133">
            <v>21712385</v>
          </cell>
          <cell r="G133">
            <v>-230000</v>
          </cell>
          <cell r="H133">
            <v>21482385</v>
          </cell>
          <cell r="I133">
            <v>0</v>
          </cell>
          <cell r="J133">
            <v>21482385</v>
          </cell>
          <cell r="K133">
            <v>23695913</v>
          </cell>
        </row>
        <row r="135">
          <cell r="F135">
            <v>3470625</v>
          </cell>
          <cell r="G135">
            <v>-134000</v>
          </cell>
          <cell r="H135">
            <v>3336625</v>
          </cell>
          <cell r="I135">
            <v>0</v>
          </cell>
          <cell r="J135">
            <v>3336625</v>
          </cell>
          <cell r="K135">
            <v>3394099</v>
          </cell>
        </row>
        <row r="136">
          <cell r="F136">
            <v>112563</v>
          </cell>
          <cell r="G136">
            <v>0</v>
          </cell>
          <cell r="H136">
            <v>112563</v>
          </cell>
          <cell r="I136">
            <v>0</v>
          </cell>
          <cell r="J136">
            <v>112563</v>
          </cell>
          <cell r="K136">
            <v>112563</v>
          </cell>
        </row>
        <row r="137">
          <cell r="F137">
            <v>-664581</v>
          </cell>
          <cell r="G137">
            <v>0</v>
          </cell>
          <cell r="H137">
            <v>-664581</v>
          </cell>
          <cell r="I137">
            <v>0</v>
          </cell>
          <cell r="J137">
            <v>-664581</v>
          </cell>
          <cell r="K137">
            <v>-537405</v>
          </cell>
        </row>
        <row r="138">
          <cell r="F138">
            <v>-45864</v>
          </cell>
          <cell r="G138">
            <v>0</v>
          </cell>
          <cell r="H138">
            <v>-45864</v>
          </cell>
          <cell r="I138">
            <v>0</v>
          </cell>
          <cell r="J138">
            <v>-45864</v>
          </cell>
          <cell r="K138">
            <v>-41361</v>
          </cell>
        </row>
        <row r="139">
          <cell r="F139">
            <v>-2320</v>
          </cell>
          <cell r="G139">
            <v>0</v>
          </cell>
          <cell r="H139">
            <v>-2320</v>
          </cell>
          <cell r="I139">
            <v>0</v>
          </cell>
          <cell r="J139">
            <v>-2320</v>
          </cell>
          <cell r="K139">
            <v>0</v>
          </cell>
        </row>
        <row r="140">
          <cell r="F140">
            <v>2870423</v>
          </cell>
          <cell r="G140">
            <v>-134000</v>
          </cell>
          <cell r="H140">
            <v>2736423</v>
          </cell>
          <cell r="I140">
            <v>0</v>
          </cell>
          <cell r="J140">
            <v>2736423</v>
          </cell>
          <cell r="K140">
            <v>2927896</v>
          </cell>
        </row>
        <row r="142">
          <cell r="F142">
            <v>3670672</v>
          </cell>
          <cell r="G142">
            <v>-10000</v>
          </cell>
          <cell r="H142">
            <v>3660672</v>
          </cell>
          <cell r="I142">
            <v>0</v>
          </cell>
          <cell r="J142">
            <v>3660672</v>
          </cell>
          <cell r="K142">
            <v>3199829</v>
          </cell>
        </row>
        <row r="143">
          <cell r="F143">
            <v>-2528780</v>
          </cell>
          <cell r="G143">
            <v>0</v>
          </cell>
          <cell r="H143">
            <v>-2528780</v>
          </cell>
          <cell r="I143">
            <v>0</v>
          </cell>
          <cell r="J143">
            <v>-2528780</v>
          </cell>
          <cell r="K143">
            <v>-2158534</v>
          </cell>
        </row>
        <row r="144">
          <cell r="F144">
            <v>1141892</v>
          </cell>
          <cell r="G144">
            <v>-10000</v>
          </cell>
          <cell r="H144">
            <v>1131892</v>
          </cell>
          <cell r="I144">
            <v>0</v>
          </cell>
          <cell r="J144">
            <v>1131892</v>
          </cell>
          <cell r="K144">
            <v>1041295</v>
          </cell>
        </row>
        <row r="146">
          <cell r="F146">
            <v>1120571</v>
          </cell>
          <cell r="G146">
            <v>-122000</v>
          </cell>
          <cell r="H146">
            <v>998571</v>
          </cell>
          <cell r="I146">
            <v>0</v>
          </cell>
          <cell r="J146">
            <v>998571</v>
          </cell>
          <cell r="K146">
            <v>1065095</v>
          </cell>
        </row>
        <row r="147">
          <cell r="F147">
            <v>1260486</v>
          </cell>
          <cell r="G147">
            <v>0</v>
          </cell>
          <cell r="H147">
            <v>1260486</v>
          </cell>
          <cell r="I147">
            <v>0</v>
          </cell>
          <cell r="J147">
            <v>1260486</v>
          </cell>
          <cell r="K147">
            <v>1260486</v>
          </cell>
        </row>
        <row r="148">
          <cell r="F148">
            <v>-805007</v>
          </cell>
          <cell r="G148">
            <v>0</v>
          </cell>
          <cell r="H148">
            <v>-805007</v>
          </cell>
          <cell r="I148">
            <v>0</v>
          </cell>
          <cell r="J148">
            <v>-805007</v>
          </cell>
          <cell r="K148">
            <v>-712752</v>
          </cell>
        </row>
        <row r="149">
          <cell r="F149">
            <v>-1151310</v>
          </cell>
          <cell r="G149">
            <v>0</v>
          </cell>
          <cell r="H149">
            <v>-1151310</v>
          </cell>
          <cell r="I149">
            <v>0</v>
          </cell>
          <cell r="J149">
            <v>-1151310</v>
          </cell>
          <cell r="K149">
            <v>-1061929</v>
          </cell>
        </row>
        <row r="150">
          <cell r="F150">
            <v>424740</v>
          </cell>
          <cell r="G150">
            <v>-122000</v>
          </cell>
          <cell r="H150">
            <v>302740</v>
          </cell>
          <cell r="I150">
            <v>0</v>
          </cell>
          <cell r="J150">
            <v>302740</v>
          </cell>
          <cell r="K150">
            <v>550900</v>
          </cell>
        </row>
        <row r="152">
          <cell r="F152">
            <v>5276378</v>
          </cell>
          <cell r="G152">
            <v>-415000</v>
          </cell>
          <cell r="H152">
            <v>4861378</v>
          </cell>
          <cell r="I152">
            <v>0</v>
          </cell>
          <cell r="J152">
            <v>4861378</v>
          </cell>
          <cell r="K152">
            <v>2966079</v>
          </cell>
        </row>
        <row r="153">
          <cell r="F153">
            <v>5276378</v>
          </cell>
          <cell r="G153">
            <v>-415000</v>
          </cell>
          <cell r="H153">
            <v>4861378</v>
          </cell>
          <cell r="I153">
            <v>0</v>
          </cell>
          <cell r="J153">
            <v>4861378</v>
          </cell>
          <cell r="K153">
            <v>2966079</v>
          </cell>
        </row>
        <row r="155">
          <cell r="F155">
            <v>151868</v>
          </cell>
          <cell r="G155">
            <v>0</v>
          </cell>
          <cell r="H155">
            <v>151868</v>
          </cell>
          <cell r="I155">
            <v>0</v>
          </cell>
          <cell r="J155">
            <v>151868</v>
          </cell>
          <cell r="K155">
            <v>145606</v>
          </cell>
        </row>
        <row r="156">
          <cell r="F156">
            <v>-138043</v>
          </cell>
          <cell r="G156">
            <v>0</v>
          </cell>
          <cell r="H156">
            <v>-138043</v>
          </cell>
          <cell r="I156">
            <v>0</v>
          </cell>
          <cell r="J156">
            <v>-138043</v>
          </cell>
          <cell r="K156">
            <v>-136559</v>
          </cell>
        </row>
        <row r="157">
          <cell r="F157">
            <v>13825</v>
          </cell>
          <cell r="G157">
            <v>0</v>
          </cell>
          <cell r="H157">
            <v>13825</v>
          </cell>
          <cell r="I157">
            <v>0</v>
          </cell>
          <cell r="J157">
            <v>13825</v>
          </cell>
          <cell r="K157">
            <v>9047</v>
          </cell>
        </row>
        <row r="159">
          <cell r="F159">
            <v>463188</v>
          </cell>
          <cell r="G159">
            <v>0</v>
          </cell>
          <cell r="H159">
            <v>463188</v>
          </cell>
          <cell r="I159">
            <v>0</v>
          </cell>
          <cell r="J159">
            <v>463188</v>
          </cell>
          <cell r="K159">
            <v>395815</v>
          </cell>
        </row>
        <row r="160">
          <cell r="F160">
            <v>-296571</v>
          </cell>
          <cell r="G160">
            <v>0</v>
          </cell>
          <cell r="H160">
            <v>-296571</v>
          </cell>
          <cell r="I160">
            <v>0</v>
          </cell>
          <cell r="J160">
            <v>-296571</v>
          </cell>
          <cell r="K160">
            <v>-268908</v>
          </cell>
        </row>
        <row r="161">
          <cell r="F161">
            <v>166617</v>
          </cell>
          <cell r="G161">
            <v>0</v>
          </cell>
          <cell r="H161">
            <v>166617</v>
          </cell>
          <cell r="I161">
            <v>0</v>
          </cell>
          <cell r="J161">
            <v>166617</v>
          </cell>
          <cell r="K161">
            <v>126907</v>
          </cell>
        </row>
        <row r="163">
          <cell r="F163">
            <v>2310</v>
          </cell>
          <cell r="G163">
            <v>0</v>
          </cell>
          <cell r="H163">
            <v>2310</v>
          </cell>
          <cell r="I163">
            <v>0</v>
          </cell>
          <cell r="J163">
            <v>2310</v>
          </cell>
          <cell r="K163">
            <v>2310</v>
          </cell>
        </row>
        <row r="164">
          <cell r="F164">
            <v>-1978</v>
          </cell>
          <cell r="G164">
            <v>0</v>
          </cell>
          <cell r="H164">
            <v>-1978</v>
          </cell>
          <cell r="I164">
            <v>0</v>
          </cell>
          <cell r="J164">
            <v>-1978</v>
          </cell>
          <cell r="K164">
            <v>-1978</v>
          </cell>
        </row>
        <row r="165">
          <cell r="F165">
            <v>332</v>
          </cell>
          <cell r="G165">
            <v>0</v>
          </cell>
          <cell r="H165">
            <v>332</v>
          </cell>
          <cell r="I165">
            <v>0</v>
          </cell>
          <cell r="J165">
            <v>332</v>
          </cell>
          <cell r="K165">
            <v>332</v>
          </cell>
        </row>
        <row r="167">
          <cell r="F167">
            <v>-2792415</v>
          </cell>
          <cell r="G167">
            <v>-428846</v>
          </cell>
          <cell r="H167">
            <v>-3221261</v>
          </cell>
          <cell r="I167">
            <v>0</v>
          </cell>
          <cell r="J167">
            <v>-3221261</v>
          </cell>
          <cell r="K167">
            <v>-2405657</v>
          </cell>
        </row>
        <row r="168">
          <cell r="F168">
            <v>-14618</v>
          </cell>
          <cell r="G168">
            <v>0</v>
          </cell>
          <cell r="H168">
            <v>-14618</v>
          </cell>
          <cell r="I168">
            <v>0</v>
          </cell>
          <cell r="J168">
            <v>-14618</v>
          </cell>
          <cell r="K168">
            <v>-26733</v>
          </cell>
        </row>
        <row r="169">
          <cell r="F169">
            <v>-4742216</v>
          </cell>
          <cell r="G169">
            <v>-60343</v>
          </cell>
          <cell r="H169">
            <v>-4802559</v>
          </cell>
          <cell r="I169">
            <v>0</v>
          </cell>
          <cell r="J169">
            <v>-4802559</v>
          </cell>
          <cell r="K169">
            <v>-3370711</v>
          </cell>
        </row>
        <row r="170">
          <cell r="F170">
            <v>-211796</v>
          </cell>
          <cell r="G170">
            <v>0</v>
          </cell>
          <cell r="H170">
            <v>-211796</v>
          </cell>
          <cell r="I170">
            <v>0</v>
          </cell>
          <cell r="J170">
            <v>-211796</v>
          </cell>
          <cell r="K170">
            <v>-45706</v>
          </cell>
        </row>
        <row r="171">
          <cell r="F171">
            <v>-59896</v>
          </cell>
          <cell r="G171">
            <v>0</v>
          </cell>
          <cell r="H171">
            <v>-59896</v>
          </cell>
          <cell r="I171">
            <v>0</v>
          </cell>
          <cell r="J171">
            <v>-59896</v>
          </cell>
          <cell r="K171">
            <v>0</v>
          </cell>
        </row>
        <row r="172">
          <cell r="F172">
            <v>-3498</v>
          </cell>
          <cell r="G172">
            <v>-21218</v>
          </cell>
          <cell r="H172">
            <v>-24716</v>
          </cell>
          <cell r="I172">
            <v>0</v>
          </cell>
          <cell r="J172">
            <v>-24716</v>
          </cell>
          <cell r="K172">
            <v>0</v>
          </cell>
        </row>
        <row r="173">
          <cell r="F173">
            <v>-10145</v>
          </cell>
          <cell r="G173">
            <v>0</v>
          </cell>
          <cell r="H173">
            <v>-10145</v>
          </cell>
          <cell r="I173">
            <v>0</v>
          </cell>
          <cell r="J173">
            <v>-10145</v>
          </cell>
          <cell r="K173">
            <v>0</v>
          </cell>
        </row>
        <row r="174">
          <cell r="F174">
            <v>-392231</v>
          </cell>
          <cell r="G174">
            <v>-1281</v>
          </cell>
          <cell r="H174">
            <v>-393512</v>
          </cell>
          <cell r="I174">
            <v>0</v>
          </cell>
          <cell r="J174">
            <v>-393512</v>
          </cell>
          <cell r="K174">
            <v>-9897</v>
          </cell>
        </row>
        <row r="175">
          <cell r="F175">
            <v>-8226815</v>
          </cell>
          <cell r="G175">
            <v>-511688</v>
          </cell>
          <cell r="H175">
            <v>-8738503</v>
          </cell>
          <cell r="I175">
            <v>0</v>
          </cell>
          <cell r="J175">
            <v>-8738503</v>
          </cell>
          <cell r="K175">
            <v>-5858704</v>
          </cell>
        </row>
        <row r="177">
          <cell r="F177">
            <v>-57677</v>
          </cell>
          <cell r="G177">
            <v>0</v>
          </cell>
          <cell r="H177">
            <v>-57677</v>
          </cell>
          <cell r="I177">
            <v>0</v>
          </cell>
          <cell r="J177">
            <v>-57677</v>
          </cell>
          <cell r="K177">
            <v>-65228</v>
          </cell>
        </row>
        <row r="178">
          <cell r="F178">
            <v>-146389</v>
          </cell>
          <cell r="G178">
            <v>0</v>
          </cell>
          <cell r="H178">
            <v>-146389</v>
          </cell>
          <cell r="I178">
            <v>0</v>
          </cell>
          <cell r="J178">
            <v>-146389</v>
          </cell>
          <cell r="K178">
            <v>-231343</v>
          </cell>
        </row>
        <row r="179">
          <cell r="F179">
            <v>-7754</v>
          </cell>
          <cell r="G179">
            <v>0</v>
          </cell>
          <cell r="H179">
            <v>-7754</v>
          </cell>
          <cell r="I179">
            <v>0</v>
          </cell>
          <cell r="J179">
            <v>-7754</v>
          </cell>
          <cell r="K179">
            <v>-5592</v>
          </cell>
        </row>
        <row r="180">
          <cell r="F180">
            <v>-138079</v>
          </cell>
          <cell r="G180">
            <v>0</v>
          </cell>
          <cell r="H180">
            <v>-138079</v>
          </cell>
          <cell r="I180">
            <v>0</v>
          </cell>
          <cell r="J180">
            <v>-138079</v>
          </cell>
          <cell r="K180">
            <v>-76893</v>
          </cell>
        </row>
        <row r="181">
          <cell r="F181">
            <v>-64175</v>
          </cell>
          <cell r="G181">
            <v>0</v>
          </cell>
          <cell r="H181">
            <v>-64175</v>
          </cell>
          <cell r="I181">
            <v>0</v>
          </cell>
          <cell r="J181">
            <v>-64175</v>
          </cell>
          <cell r="K181">
            <v>-34704</v>
          </cell>
        </row>
        <row r="182">
          <cell r="F182">
            <v>-54160</v>
          </cell>
          <cell r="G182">
            <v>0</v>
          </cell>
          <cell r="H182">
            <v>-54160</v>
          </cell>
          <cell r="I182">
            <v>0</v>
          </cell>
          <cell r="J182">
            <v>-54160</v>
          </cell>
          <cell r="K182">
            <v>-30091</v>
          </cell>
        </row>
        <row r="183">
          <cell r="F183">
            <v>-468234</v>
          </cell>
          <cell r="G183">
            <v>0</v>
          </cell>
          <cell r="H183">
            <v>-468234</v>
          </cell>
          <cell r="I183">
            <v>0</v>
          </cell>
          <cell r="J183">
            <v>-468234</v>
          </cell>
          <cell r="K183">
            <v>-443851</v>
          </cell>
        </row>
        <row r="185">
          <cell r="F185">
            <v>-1564664</v>
          </cell>
          <cell r="G185">
            <v>0</v>
          </cell>
          <cell r="H185">
            <v>-1564664</v>
          </cell>
          <cell r="I185">
            <v>0</v>
          </cell>
          <cell r="J185">
            <v>-1564664</v>
          </cell>
          <cell r="K185">
            <v>0</v>
          </cell>
        </row>
        <row r="186">
          <cell r="F186">
            <v>-9252164</v>
          </cell>
          <cell r="G186">
            <v>133</v>
          </cell>
          <cell r="H186">
            <v>-9252031</v>
          </cell>
          <cell r="I186">
            <v>0</v>
          </cell>
          <cell r="J186">
            <v>-9252031</v>
          </cell>
          <cell r="K186">
            <v>-6432705</v>
          </cell>
        </row>
        <row r="187">
          <cell r="F187">
            <v>0</v>
          </cell>
          <cell r="G187">
            <v>0</v>
          </cell>
          <cell r="H187">
            <v>0</v>
          </cell>
          <cell r="I187">
            <v>0</v>
          </cell>
          <cell r="J187">
            <v>0</v>
          </cell>
          <cell r="K187">
            <v>-48561</v>
          </cell>
        </row>
        <row r="188">
          <cell r="F188">
            <v>0</v>
          </cell>
          <cell r="G188">
            <v>0</v>
          </cell>
          <cell r="H188">
            <v>0</v>
          </cell>
          <cell r="I188">
            <v>0</v>
          </cell>
          <cell r="J188">
            <v>0</v>
          </cell>
          <cell r="K188">
            <v>-6361</v>
          </cell>
        </row>
        <row r="189">
          <cell r="F189">
            <v>-10816828</v>
          </cell>
          <cell r="G189">
            <v>133</v>
          </cell>
          <cell r="H189">
            <v>-10816695</v>
          </cell>
          <cell r="I189">
            <v>0</v>
          </cell>
          <cell r="J189">
            <v>-10816695</v>
          </cell>
          <cell r="K189">
            <v>-6487627</v>
          </cell>
        </row>
        <row r="191">
          <cell r="F191">
            <v>-14934</v>
          </cell>
          <cell r="G191">
            <v>0</v>
          </cell>
          <cell r="H191">
            <v>-14934</v>
          </cell>
          <cell r="I191">
            <v>0</v>
          </cell>
          <cell r="J191">
            <v>-14934</v>
          </cell>
          <cell r="K191">
            <v>-9336</v>
          </cell>
        </row>
        <row r="192">
          <cell r="F192">
            <v>0</v>
          </cell>
          <cell r="G192">
            <v>0</v>
          </cell>
          <cell r="H192">
            <v>0</v>
          </cell>
          <cell r="I192">
            <v>0</v>
          </cell>
          <cell r="J192">
            <v>0</v>
          </cell>
          <cell r="K192">
            <v>0</v>
          </cell>
        </row>
        <row r="193">
          <cell r="F193">
            <v>-830716</v>
          </cell>
          <cell r="G193">
            <v>0</v>
          </cell>
          <cell r="H193">
            <v>-830716</v>
          </cell>
          <cell r="I193">
            <v>0</v>
          </cell>
          <cell r="J193">
            <v>-830716</v>
          </cell>
          <cell r="K193">
            <v>-996080</v>
          </cell>
        </row>
        <row r="194">
          <cell r="F194">
            <v>-9306</v>
          </cell>
          <cell r="G194">
            <v>0</v>
          </cell>
          <cell r="H194">
            <v>-9306</v>
          </cell>
          <cell r="I194">
            <v>0</v>
          </cell>
          <cell r="J194">
            <v>-9306</v>
          </cell>
          <cell r="K194">
            <v>-33433</v>
          </cell>
        </row>
        <row r="195">
          <cell r="F195">
            <v>-2563</v>
          </cell>
          <cell r="G195">
            <v>0</v>
          </cell>
          <cell r="H195">
            <v>-2563</v>
          </cell>
          <cell r="I195">
            <v>0</v>
          </cell>
          <cell r="J195">
            <v>-2563</v>
          </cell>
          <cell r="K195">
            <v>-3468</v>
          </cell>
        </row>
        <row r="196">
          <cell r="F196">
            <v>-93764</v>
          </cell>
          <cell r="G196">
            <v>0</v>
          </cell>
          <cell r="H196">
            <v>-93764</v>
          </cell>
          <cell r="I196">
            <v>0</v>
          </cell>
          <cell r="J196">
            <v>-93764</v>
          </cell>
          <cell r="K196">
            <v>-78233</v>
          </cell>
        </row>
        <row r="197">
          <cell r="F197">
            <v>0</v>
          </cell>
          <cell r="G197">
            <v>-195000</v>
          </cell>
          <cell r="H197">
            <v>-195000</v>
          </cell>
          <cell r="I197">
            <v>0</v>
          </cell>
          <cell r="J197">
            <v>-195000</v>
          </cell>
          <cell r="K197">
            <v>0</v>
          </cell>
        </row>
        <row r="198">
          <cell r="F198">
            <v>-951283</v>
          </cell>
          <cell r="G198">
            <v>-195000</v>
          </cell>
          <cell r="H198">
            <v>-1146283</v>
          </cell>
          <cell r="I198">
            <v>0</v>
          </cell>
          <cell r="J198">
            <v>-1146283</v>
          </cell>
          <cell r="K198">
            <v>-1120550</v>
          </cell>
        </row>
        <row r="200">
          <cell r="F200">
            <v>0</v>
          </cell>
          <cell r="G200">
            <v>-6586000</v>
          </cell>
          <cell r="H200">
            <v>-6586000</v>
          </cell>
          <cell r="I200">
            <v>1491000</v>
          </cell>
          <cell r="J200">
            <v>-5095000</v>
          </cell>
          <cell r="K200">
            <v>-6586364</v>
          </cell>
        </row>
        <row r="201">
          <cell r="F201">
            <v>0</v>
          </cell>
          <cell r="G201">
            <v>-6091000</v>
          </cell>
          <cell r="H201">
            <v>-6091000</v>
          </cell>
          <cell r="I201">
            <v>1523000</v>
          </cell>
          <cell r="J201">
            <v>-4568000</v>
          </cell>
          <cell r="K201">
            <v>-6090455</v>
          </cell>
        </row>
        <row r="202">
          <cell r="F202">
            <v>0</v>
          </cell>
          <cell r="G202">
            <v>-12677000</v>
          </cell>
          <cell r="H202">
            <v>-12677000</v>
          </cell>
          <cell r="I202">
            <v>3014000</v>
          </cell>
          <cell r="J202">
            <v>-9663000</v>
          </cell>
          <cell r="K202">
            <v>-12676819</v>
          </cell>
        </row>
        <row r="204">
          <cell r="F204">
            <v>0</v>
          </cell>
          <cell r="G204">
            <v>0</v>
          </cell>
          <cell r="H204">
            <v>0</v>
          </cell>
          <cell r="I204">
            <v>0</v>
          </cell>
          <cell r="J204">
            <v>0</v>
          </cell>
          <cell r="K204">
            <v>-1485600</v>
          </cell>
        </row>
        <row r="205">
          <cell r="F205">
            <v>-10201892</v>
          </cell>
          <cell r="G205">
            <v>0</v>
          </cell>
          <cell r="H205">
            <v>-10201892</v>
          </cell>
          <cell r="I205">
            <v>-1491000</v>
          </cell>
          <cell r="J205">
            <v>-11692892</v>
          </cell>
          <cell r="K205">
            <v>-11996624</v>
          </cell>
        </row>
        <row r="206">
          <cell r="F206">
            <v>-586749</v>
          </cell>
          <cell r="G206">
            <v>0</v>
          </cell>
          <cell r="H206">
            <v>-586749</v>
          </cell>
          <cell r="I206">
            <v>-1523000</v>
          </cell>
          <cell r="J206">
            <v>-2109749</v>
          </cell>
          <cell r="K206">
            <v>-2109362</v>
          </cell>
        </row>
        <row r="207">
          <cell r="F207">
            <v>0</v>
          </cell>
          <cell r="G207">
            <v>0</v>
          </cell>
          <cell r="H207">
            <v>0</v>
          </cell>
          <cell r="I207">
            <v>0</v>
          </cell>
          <cell r="J207">
            <v>0</v>
          </cell>
          <cell r="K207">
            <v>-1175</v>
          </cell>
        </row>
        <row r="208">
          <cell r="F208">
            <v>0</v>
          </cell>
          <cell r="G208">
            <v>0</v>
          </cell>
          <cell r="H208">
            <v>0</v>
          </cell>
          <cell r="I208">
            <v>0</v>
          </cell>
          <cell r="J208">
            <v>0</v>
          </cell>
          <cell r="K208">
            <v>-584</v>
          </cell>
        </row>
        <row r="209">
          <cell r="F209">
            <v>-11871</v>
          </cell>
          <cell r="G209">
            <v>0</v>
          </cell>
          <cell r="H209">
            <v>-11871</v>
          </cell>
          <cell r="I209">
            <v>0</v>
          </cell>
          <cell r="J209">
            <v>-11871</v>
          </cell>
          <cell r="K209">
            <v>-8788</v>
          </cell>
        </row>
        <row r="210">
          <cell r="F210">
            <v>-6703172</v>
          </cell>
          <cell r="G210">
            <v>0</v>
          </cell>
          <cell r="H210">
            <v>-6703172</v>
          </cell>
          <cell r="I210">
            <v>0</v>
          </cell>
          <cell r="J210">
            <v>-6703172</v>
          </cell>
          <cell r="K210">
            <v>-6607711</v>
          </cell>
        </row>
        <row r="211">
          <cell r="F211">
            <v>-5133705</v>
          </cell>
          <cell r="G211">
            <v>0</v>
          </cell>
          <cell r="H211">
            <v>-5133705</v>
          </cell>
          <cell r="I211">
            <v>0</v>
          </cell>
          <cell r="J211">
            <v>-5133705</v>
          </cell>
          <cell r="K211">
            <v>-5997042</v>
          </cell>
        </row>
        <row r="212">
          <cell r="F212">
            <v>-22637389</v>
          </cell>
          <cell r="G212">
            <v>0</v>
          </cell>
          <cell r="H212">
            <v>-22637389</v>
          </cell>
          <cell r="I212">
            <v>-3014000</v>
          </cell>
          <cell r="J212">
            <v>-25651389</v>
          </cell>
          <cell r="K212">
            <v>-28206886</v>
          </cell>
        </row>
        <row r="214">
          <cell r="F214">
            <v>-87265</v>
          </cell>
          <cell r="G214">
            <v>0</v>
          </cell>
          <cell r="H214">
            <v>-87265</v>
          </cell>
          <cell r="I214">
            <v>0</v>
          </cell>
          <cell r="J214">
            <v>-87265</v>
          </cell>
          <cell r="K214">
            <v>-50488</v>
          </cell>
        </row>
        <row r="215">
          <cell r="F215">
            <v>-3769</v>
          </cell>
          <cell r="G215">
            <v>0</v>
          </cell>
          <cell r="H215">
            <v>-3769</v>
          </cell>
          <cell r="I215">
            <v>0</v>
          </cell>
          <cell r="J215">
            <v>-3769</v>
          </cell>
          <cell r="K215">
            <v>-2338</v>
          </cell>
        </row>
        <row r="216">
          <cell r="F216">
            <v>-8268</v>
          </cell>
          <cell r="G216">
            <v>0</v>
          </cell>
          <cell r="H216">
            <v>-8268</v>
          </cell>
          <cell r="I216">
            <v>0</v>
          </cell>
          <cell r="J216">
            <v>-8268</v>
          </cell>
          <cell r="K216">
            <v>-1474</v>
          </cell>
        </row>
        <row r="217">
          <cell r="F217">
            <v>-201</v>
          </cell>
          <cell r="G217">
            <v>0</v>
          </cell>
          <cell r="H217">
            <v>-201</v>
          </cell>
          <cell r="I217">
            <v>0</v>
          </cell>
          <cell r="J217">
            <v>-201</v>
          </cell>
          <cell r="K217">
            <v>-110</v>
          </cell>
        </row>
        <row r="218">
          <cell r="F218">
            <v>-99503</v>
          </cell>
          <cell r="G218">
            <v>0</v>
          </cell>
          <cell r="H218">
            <v>-99503</v>
          </cell>
          <cell r="I218">
            <v>0</v>
          </cell>
          <cell r="J218">
            <v>-99503</v>
          </cell>
          <cell r="K218">
            <v>-54410</v>
          </cell>
        </row>
        <row r="220">
          <cell r="F220">
            <v>-1279041</v>
          </cell>
          <cell r="G220">
            <v>1086000</v>
          </cell>
          <cell r="H220">
            <v>-193041</v>
          </cell>
          <cell r="I220">
            <v>0</v>
          </cell>
          <cell r="J220">
            <v>-193041</v>
          </cell>
          <cell r="K220">
            <v>-1319943</v>
          </cell>
        </row>
        <row r="221">
          <cell r="F221">
            <v>-1147451</v>
          </cell>
          <cell r="G221">
            <v>0</v>
          </cell>
          <cell r="H221">
            <v>-1147451</v>
          </cell>
          <cell r="I221">
            <v>0</v>
          </cell>
          <cell r="J221">
            <v>-1147451</v>
          </cell>
          <cell r="K221">
            <v>-1147451</v>
          </cell>
        </row>
        <row r="222">
          <cell r="F222">
            <v>-2426492</v>
          </cell>
          <cell r="G222">
            <v>1086000</v>
          </cell>
          <cell r="H222">
            <v>-1340492</v>
          </cell>
          <cell r="I222">
            <v>0</v>
          </cell>
          <cell r="J222">
            <v>-1340492</v>
          </cell>
          <cell r="K222">
            <v>-2467394</v>
          </cell>
        </row>
        <row r="224">
          <cell r="F224">
            <v>-1035572</v>
          </cell>
          <cell r="G224">
            <v>0</v>
          </cell>
          <cell r="H224">
            <v>-1035572</v>
          </cell>
          <cell r="I224">
            <v>393000</v>
          </cell>
          <cell r="J224">
            <v>-642572</v>
          </cell>
          <cell r="K224">
            <v>-1206723</v>
          </cell>
        </row>
        <row r="225">
          <cell r="F225">
            <v>-1035572</v>
          </cell>
          <cell r="G225">
            <v>0</v>
          </cell>
          <cell r="H225">
            <v>-1035572</v>
          </cell>
          <cell r="I225">
            <v>393000</v>
          </cell>
          <cell r="J225">
            <v>-642572</v>
          </cell>
          <cell r="K225">
            <v>-1206723</v>
          </cell>
        </row>
        <row r="227">
          <cell r="F227">
            <v>0</v>
          </cell>
          <cell r="G227">
            <v>0</v>
          </cell>
          <cell r="H227">
            <v>0</v>
          </cell>
          <cell r="I227">
            <v>-393000</v>
          </cell>
          <cell r="J227">
            <v>-393000</v>
          </cell>
          <cell r="K227">
            <v>0</v>
          </cell>
        </row>
        <row r="228">
          <cell r="F228">
            <v>0</v>
          </cell>
          <cell r="G228">
            <v>0</v>
          </cell>
          <cell r="H228">
            <v>0</v>
          </cell>
          <cell r="I228">
            <v>-393000</v>
          </cell>
          <cell r="J228">
            <v>-393000</v>
          </cell>
          <cell r="K228">
            <v>0</v>
          </cell>
        </row>
        <row r="230">
          <cell r="F230">
            <v>-3765653</v>
          </cell>
          <cell r="G230">
            <v>0</v>
          </cell>
          <cell r="H230">
            <v>-3765653</v>
          </cell>
          <cell r="I230">
            <v>456000</v>
          </cell>
          <cell r="J230">
            <v>-3309653</v>
          </cell>
          <cell r="K230">
            <v>0</v>
          </cell>
        </row>
        <row r="231">
          <cell r="F231">
            <v>0</v>
          </cell>
          <cell r="G231">
            <v>0</v>
          </cell>
          <cell r="H231">
            <v>0</v>
          </cell>
          <cell r="I231">
            <v>-456000</v>
          </cell>
          <cell r="J231">
            <v>-456000</v>
          </cell>
          <cell r="K231">
            <v>0</v>
          </cell>
        </row>
        <row r="232">
          <cell r="F232">
            <v>-3765653</v>
          </cell>
          <cell r="G232">
            <v>0</v>
          </cell>
          <cell r="H232">
            <v>-3765653</v>
          </cell>
          <cell r="I232">
            <v>0</v>
          </cell>
          <cell r="J232">
            <v>-3765653</v>
          </cell>
          <cell r="K232">
            <v>0</v>
          </cell>
        </row>
        <row r="234">
          <cell r="F234">
            <v>-96925</v>
          </cell>
          <cell r="G234">
            <v>-635000</v>
          </cell>
          <cell r="H234">
            <v>-731925</v>
          </cell>
          <cell r="I234">
            <v>0</v>
          </cell>
          <cell r="J234">
            <v>-731925</v>
          </cell>
          <cell r="K234">
            <v>-114935</v>
          </cell>
        </row>
        <row r="235">
          <cell r="F235">
            <v>0</v>
          </cell>
          <cell r="G235">
            <v>0</v>
          </cell>
          <cell r="H235">
            <v>0</v>
          </cell>
          <cell r="I235">
            <v>0</v>
          </cell>
          <cell r="J235">
            <v>0</v>
          </cell>
          <cell r="K235">
            <v>0</v>
          </cell>
        </row>
        <row r="236">
          <cell r="F236">
            <v>-96925</v>
          </cell>
          <cell r="G236">
            <v>-635000</v>
          </cell>
          <cell r="H236">
            <v>-731925</v>
          </cell>
          <cell r="I236">
            <v>0</v>
          </cell>
          <cell r="J236">
            <v>-731925</v>
          </cell>
          <cell r="K236">
            <v>-114935</v>
          </cell>
        </row>
        <row r="238">
          <cell r="F238">
            <v>-39000000</v>
          </cell>
          <cell r="G238">
            <v>0</v>
          </cell>
          <cell r="H238">
            <v>-39000000</v>
          </cell>
          <cell r="I238">
            <v>0</v>
          </cell>
          <cell r="J238">
            <v>-39000000</v>
          </cell>
          <cell r="K238">
            <v>-39000000</v>
          </cell>
        </row>
        <row r="239">
          <cell r="F239">
            <v>2622865</v>
          </cell>
          <cell r="G239">
            <v>0</v>
          </cell>
          <cell r="H239">
            <v>2622865</v>
          </cell>
          <cell r="I239">
            <v>0</v>
          </cell>
          <cell r="J239">
            <v>2622865</v>
          </cell>
          <cell r="K239">
            <v>2141636</v>
          </cell>
        </row>
        <row r="240">
          <cell r="F240">
            <v>-36377135</v>
          </cell>
          <cell r="G240">
            <v>0</v>
          </cell>
          <cell r="H240">
            <v>-36377135</v>
          </cell>
          <cell r="I240">
            <v>0</v>
          </cell>
          <cell r="J240">
            <v>-36377135</v>
          </cell>
          <cell r="K240">
            <v>-36858364</v>
          </cell>
        </row>
        <row r="242">
          <cell r="F242">
            <v>-14630932</v>
          </cell>
          <cell r="G242">
            <v>0</v>
          </cell>
          <cell r="H242">
            <v>-14630932</v>
          </cell>
          <cell r="I242">
            <v>0</v>
          </cell>
          <cell r="J242">
            <v>-14630932</v>
          </cell>
          <cell r="K242">
            <v>-16610434</v>
          </cell>
        </row>
        <row r="243">
          <cell r="F243">
            <v>-14630932</v>
          </cell>
          <cell r="G243">
            <v>0</v>
          </cell>
          <cell r="H243">
            <v>-14630932</v>
          </cell>
          <cell r="I243">
            <v>0</v>
          </cell>
          <cell r="J243">
            <v>-14630932</v>
          </cell>
          <cell r="K243">
            <v>-16610434</v>
          </cell>
        </row>
        <row r="245">
          <cell r="F245">
            <v>-5969161</v>
          </cell>
          <cell r="G245">
            <v>0</v>
          </cell>
          <cell r="H245">
            <v>-5969161</v>
          </cell>
          <cell r="I245">
            <v>0</v>
          </cell>
          <cell r="J245">
            <v>-5969161</v>
          </cell>
          <cell r="K245">
            <v>-5969161</v>
          </cell>
        </row>
        <row r="246">
          <cell r="F246">
            <v>-5969161</v>
          </cell>
          <cell r="G246">
            <v>0</v>
          </cell>
          <cell r="H246">
            <v>-5969161</v>
          </cell>
          <cell r="I246">
            <v>0</v>
          </cell>
          <cell r="J246">
            <v>-5969161</v>
          </cell>
          <cell r="K246">
            <v>-5969161</v>
          </cell>
        </row>
        <row r="248">
          <cell r="F248">
            <v>-61677633</v>
          </cell>
          <cell r="G248">
            <v>7385000</v>
          </cell>
          <cell r="H248">
            <v>-54292633</v>
          </cell>
          <cell r="I248">
            <v>0</v>
          </cell>
          <cell r="J248">
            <v>-54292633</v>
          </cell>
          <cell r="K248">
            <v>-60608631</v>
          </cell>
        </row>
        <row r="249">
          <cell r="F249">
            <v>-61677633</v>
          </cell>
          <cell r="G249">
            <v>7385000</v>
          </cell>
          <cell r="H249">
            <v>-54292633</v>
          </cell>
          <cell r="I249">
            <v>0</v>
          </cell>
          <cell r="J249">
            <v>-54292633</v>
          </cell>
          <cell r="K249">
            <v>-60608631</v>
          </cell>
        </row>
        <row r="251">
          <cell r="F251">
            <v>0</v>
          </cell>
          <cell r="G251">
            <v>0</v>
          </cell>
          <cell r="H251">
            <v>0</v>
          </cell>
          <cell r="I251">
            <v>0</v>
          </cell>
          <cell r="J251">
            <v>0</v>
          </cell>
          <cell r="K251">
            <v>0</v>
          </cell>
        </row>
        <row r="252">
          <cell r="F252">
            <v>0</v>
          </cell>
          <cell r="G252">
            <v>0</v>
          </cell>
          <cell r="H252">
            <v>0</v>
          </cell>
          <cell r="I252">
            <v>0</v>
          </cell>
          <cell r="J252">
            <v>0</v>
          </cell>
          <cell r="K252">
            <v>0</v>
          </cell>
        </row>
        <row r="253">
          <cell r="F253">
            <v>0</v>
          </cell>
          <cell r="G253">
            <v>0</v>
          </cell>
          <cell r="H253">
            <v>0</v>
          </cell>
          <cell r="I253">
            <v>0</v>
          </cell>
          <cell r="J253">
            <v>0</v>
          </cell>
          <cell r="K253">
            <v>0</v>
          </cell>
        </row>
        <row r="254">
          <cell r="F254">
            <v>8773939</v>
          </cell>
          <cell r="G254">
            <v>236307</v>
          </cell>
          <cell r="H254">
            <v>9010246</v>
          </cell>
          <cell r="I254">
            <v>0</v>
          </cell>
          <cell r="J254">
            <v>9010246</v>
          </cell>
          <cell r="K254">
            <v>8110894</v>
          </cell>
        </row>
      </sheetData>
      <sheetData sheetId="2"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ME price dynamic"/>
      <sheetName val="Profitability_gain_loss"/>
      <sheetName val="I.2 Operating Perfor_CONS_YTD"/>
      <sheetName val="I.2 Operating Perfor_RECYCL_YTD"/>
      <sheetName val="I.2 Operating Perfor_FGOODS_YTD"/>
      <sheetName val="months"/>
      <sheetName val="LME Dinamics"/>
      <sheetName val="LME Dynamacis Sales and Product"/>
      <sheetName val="2019 Actual Monbat"/>
      <sheetName val="Monbat AD_YTD_BP_19-23"/>
      <sheetName val="VARIANCE BP_Month Only_v2"/>
      <sheetName val="VARIANCE YTD_v2"/>
      <sheetName val="VARIANCE BP"/>
      <sheetName val="2019 Actual Start"/>
      <sheetName val="Start_YTD_BP 2019"/>
      <sheetName val="Aggregate GFO_EUR_2019"/>
      <sheetName val="Sales and NC comparison"/>
      <sheetName val="Volume Comparison"/>
      <sheetName val="Product Mix"/>
      <sheetName val="VARIANCE BP_Month Only"/>
      <sheetName val="VARIANCE YTD"/>
      <sheetName val="2018 Actual Monbat"/>
      <sheetName val="2018 Actual Start"/>
      <sheetName val="Calculations for Aggregate 2019"/>
      <sheetName val="2019 Prod_Overh. Start Actual"/>
      <sheetName val="Start AD- prod. and sold_2019"/>
      <sheetName val="2019 Prod_Overh. Monbat Actual"/>
      <sheetName val="Rec_Cons_BP 2019"/>
      <sheetName val="Comparison of ind results_2019"/>
      <sheetName val="LE_Batteries_2018+2019+BP2019"/>
    </sheetNames>
    <sheetDataSet>
      <sheetData sheetId="0"/>
      <sheetData sheetId="1"/>
      <sheetData sheetId="2">
        <row r="43">
          <cell r="C43" t="str">
            <v>YTD 2018</v>
          </cell>
        </row>
      </sheetData>
      <sheetData sheetId="3">
        <row r="33">
          <cell r="C33" t="str">
            <v>YTD 2018</v>
          </cell>
        </row>
      </sheetData>
      <sheetData sheetId="4">
        <row r="33">
          <cell r="C33" t="str">
            <v>YTD 2018</v>
          </cell>
        </row>
      </sheetData>
      <sheetData sheetId="5">
        <row r="3">
          <cell r="A3" t="str">
            <v>January</v>
          </cell>
        </row>
        <row r="4">
          <cell r="A4" t="str">
            <v>February</v>
          </cell>
        </row>
        <row r="5">
          <cell r="A5" t="str">
            <v>March</v>
          </cell>
        </row>
        <row r="6">
          <cell r="A6" t="str">
            <v>April</v>
          </cell>
        </row>
        <row r="7">
          <cell r="A7" t="str">
            <v>May</v>
          </cell>
        </row>
        <row r="8">
          <cell r="A8" t="str">
            <v>June</v>
          </cell>
        </row>
        <row r="9">
          <cell r="A9" t="str">
            <v>July</v>
          </cell>
        </row>
        <row r="10">
          <cell r="A10" t="str">
            <v>August</v>
          </cell>
        </row>
        <row r="11">
          <cell r="A11" t="str">
            <v>September</v>
          </cell>
        </row>
        <row r="12">
          <cell r="A12" t="str">
            <v>October</v>
          </cell>
        </row>
        <row r="13">
          <cell r="A13" t="str">
            <v>November</v>
          </cell>
        </row>
        <row r="14">
          <cell r="A14" t="str">
            <v>December</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ME price dynamic"/>
      <sheetName val="Profitability_gain_loss"/>
      <sheetName val="I.2 Operating Perfor_CONS_YTD"/>
      <sheetName val="I.2 Operating Perfor_FGOODS_YTD"/>
      <sheetName val="I.2 Operating Perfor_RECYCL_YTD"/>
      <sheetName val="VARIANCE BP"/>
      <sheetName val="VARIANCE YTD"/>
      <sheetName val="2016 Actual Start."/>
      <sheetName val="2016 Actual Monbat"/>
      <sheetName val="BP Conso_per month"/>
      <sheetName val="EBITDA RECON"/>
      <sheetName val="Start_YTD_BP"/>
      <sheetName val="Monbat AD_YTD_BP"/>
      <sheetName val="Rec_Cons_BP"/>
      <sheetName val="2015 Recycling"/>
      <sheetName val="2015 Monbat"/>
      <sheetName val="2015 Actual Start"/>
      <sheetName val="months"/>
      <sheetName val="2015 BP Recycling Cons"/>
      <sheetName val="2015 BP Monbat AD"/>
      <sheetName val="2014 Recycling"/>
      <sheetName val="Product Mix"/>
      <sheetName val="Material Balance 2016"/>
      <sheetName val="Info for GFO new model"/>
      <sheetName val="Aggregate GFO_EUR"/>
      <sheetName val="adjustments to Petya's costs"/>
      <sheetName val="2016 Actual Start"/>
      <sheetName val="NC alloys GFO_MRB &amp; MRR 2016"/>
      <sheetName val="Lead equivalent per type "/>
      <sheetName val="611-Start AD"/>
      <sheetName val="Start AD- produced and sold АкБ"/>
      <sheetName val="Add info - Monbat&amp;Start 2016"/>
      <sheetName val="GFO_Template_Monbat ROMANIA"/>
      <sheetName val="2016 P&amp;L-YU Monbat"/>
      <sheetName val="Calculations for Aggregate GFO"/>
      <sheetName val="Pivot of---&gt;"/>
      <sheetName val="sales 01-09.2015 MR and YU"/>
      <sheetName val="Calculation of COGS and NC-copy"/>
      <sheetName val="Calculation of COGS and NC"/>
      <sheetName val="2015 Actual Recycling"/>
      <sheetName val="2015 BP Cons"/>
      <sheetName val="2014 Monbat"/>
      <sheetName val="2014 Start"/>
      <sheetName val="2015 Star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3">
          <cell r="A3" t="str">
            <v>January</v>
          </cell>
        </row>
        <row r="4">
          <cell r="A4" t="str">
            <v>February</v>
          </cell>
        </row>
        <row r="5">
          <cell r="A5" t="str">
            <v>March</v>
          </cell>
        </row>
        <row r="6">
          <cell r="A6" t="str">
            <v>April</v>
          </cell>
        </row>
        <row r="7">
          <cell r="A7" t="str">
            <v>May</v>
          </cell>
        </row>
        <row r="8">
          <cell r="A8" t="str">
            <v>June</v>
          </cell>
        </row>
        <row r="9">
          <cell r="A9" t="str">
            <v>July</v>
          </cell>
        </row>
        <row r="10">
          <cell r="A10" t="str">
            <v>August</v>
          </cell>
        </row>
        <row r="11">
          <cell r="A11" t="str">
            <v>September</v>
          </cell>
        </row>
        <row r="12">
          <cell r="A12" t="str">
            <v>October</v>
          </cell>
        </row>
        <row r="13">
          <cell r="A13" t="str">
            <v>November</v>
          </cell>
        </row>
        <row r="14">
          <cell r="A14" t="str">
            <v>December</v>
          </cell>
        </row>
      </sheetData>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ME price dynamic"/>
      <sheetName val="Profitability_gain_loss"/>
      <sheetName val="I.2 Operating Perfor_CONS_YTD"/>
      <sheetName val="I.2 Operating Perfor_FGOODS_YTD"/>
      <sheetName val="I.2 Operating Perfor_RECYCL_YTD"/>
      <sheetName val="VARIANCE BP"/>
      <sheetName val="VARIANCE YTD"/>
      <sheetName val="2016 Actual Start."/>
      <sheetName val="2016 Actual Monbat"/>
      <sheetName val="BP Conso_per month"/>
      <sheetName val="EBITDA RECON"/>
      <sheetName val="Start_YTD_BP"/>
      <sheetName val="Monbat AD_YTD_BP"/>
      <sheetName val="Rec_Cons_BP"/>
      <sheetName val="2015 Recycling"/>
      <sheetName val="2015 Monbat"/>
      <sheetName val="2015 Actual Start"/>
      <sheetName val="months"/>
      <sheetName val="2015 BP Recycling Cons"/>
      <sheetName val="2015 BP Monbat AD"/>
      <sheetName val="2014 Recycling"/>
      <sheetName val="Product Mix"/>
      <sheetName val="Material Balance 2016"/>
      <sheetName val="Info for GFO new model"/>
      <sheetName val="Aggregate GFO_EUR"/>
      <sheetName val="adjustments to Petya's costs"/>
      <sheetName val="2016 Actual Start"/>
      <sheetName val="NC alloys GFO_MRB &amp; MRR 2016"/>
      <sheetName val="Lead equivalent per type "/>
      <sheetName val="611-Start AD"/>
      <sheetName val="Start AD- produced and sold АкБ"/>
      <sheetName val="Add info - Monbat&amp;Start 2016"/>
      <sheetName val="GFO_Template_Monbat ROMANIA"/>
      <sheetName val="2016 P&amp;L-YU Monbat"/>
      <sheetName val="Calculations for Aggregate GFO"/>
      <sheetName val="Pivot of---&gt;"/>
      <sheetName val="sales 01-09.2015 MR and YU"/>
      <sheetName val="Calculation of COGS and NC-copy"/>
      <sheetName val="Calculation of COGS and NC"/>
      <sheetName val="2015 Actual Recycling"/>
      <sheetName val="2015 BP Cons"/>
      <sheetName val="2014 Monbat"/>
      <sheetName val="2014 Start"/>
      <sheetName val="2015 Star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3">
          <cell r="A3" t="str">
            <v>January</v>
          </cell>
        </row>
        <row r="4">
          <cell r="A4" t="str">
            <v>February</v>
          </cell>
        </row>
        <row r="5">
          <cell r="A5" t="str">
            <v>March</v>
          </cell>
        </row>
        <row r="6">
          <cell r="A6" t="str">
            <v>April</v>
          </cell>
        </row>
        <row r="7">
          <cell r="A7" t="str">
            <v>May</v>
          </cell>
        </row>
        <row r="8">
          <cell r="A8" t="str">
            <v>June</v>
          </cell>
        </row>
        <row r="9">
          <cell r="A9" t="str">
            <v>July</v>
          </cell>
        </row>
        <row r="10">
          <cell r="A10" t="str">
            <v>August</v>
          </cell>
        </row>
        <row r="11">
          <cell r="A11" t="str">
            <v>September</v>
          </cell>
        </row>
        <row r="12">
          <cell r="A12" t="str">
            <v>October</v>
          </cell>
        </row>
        <row r="13">
          <cell r="A13" t="str">
            <v>November</v>
          </cell>
        </row>
        <row r="14">
          <cell r="A14" t="str">
            <v>December</v>
          </cell>
        </row>
      </sheetData>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BITDA_composition"/>
      <sheetName val="LME price dynamic"/>
      <sheetName val="Profitability_gain_loss"/>
      <sheetName val="I.2 Operating Perfor_CONS_YTD"/>
      <sheetName val="I.2 Operating Perfor_FGOODS_YTD"/>
      <sheetName val="I.2 Operating Perfor_RECYCL_YTD"/>
      <sheetName val="VARIANCE BP"/>
      <sheetName val="VARIANCE YTD (2)"/>
      <sheetName val="VARIANCE YTD"/>
      <sheetName val="01-04.2016"/>
      <sheetName val="only 4.2016"/>
      <sheetName val="2016 Actual Monbat"/>
      <sheetName val="2016 Actual Start"/>
      <sheetName val="Comparison of ind results"/>
      <sheetName val="adjustments to Petya's costs"/>
      <sheetName val="NC alloys GFO_MRB &amp; MRR 2016"/>
      <sheetName val="Lead equivalent per type "/>
      <sheetName val="611-Start AD"/>
      <sheetName val="Start AD- produced and sold АкБ"/>
      <sheetName val="COGS of plates and grids sold"/>
      <sheetName val="Add info - Monbat&amp;Start 2016"/>
      <sheetName val="2015 Recycling"/>
      <sheetName val="Aggregate GFO_EUR"/>
      <sheetName val="Calculations for Aggregate GFO"/>
      <sheetName val="Calculation of NC - Start 2015"/>
      <sheetName val="Calculation of COGS and NC"/>
      <sheetName val="Rec_Cons_BP"/>
      <sheetName val="Monbat AD_YTD_BP"/>
      <sheetName val="Start_YTD_BP"/>
      <sheetName val="2016 Actual Start - Petya"/>
      <sheetName val="2015 Actual Start"/>
      <sheetName val="2015 Monbat"/>
      <sheetName val="EBITDA RECON MONTHLY"/>
      <sheetName val="BP Conso_per month"/>
      <sheetName val="EBITDA RECON"/>
      <sheetName val="months"/>
      <sheetName val="2015 BP Recycling Cons"/>
      <sheetName val="2015 BP Monbat AD"/>
      <sheetName val="2014 Recycling"/>
      <sheetName val="Product Mix"/>
      <sheetName val="Material Balance 2016"/>
      <sheetName val="Info for GFO new model"/>
      <sheetName val="GFO_Template_Monbat ROMANIA"/>
      <sheetName val="2016 P&amp;L-YU Monbat"/>
      <sheetName val="2015 Actual Recycling"/>
      <sheetName val="2015 BP Cons"/>
      <sheetName val="2014 Monbat"/>
      <sheetName val="2014 Start"/>
      <sheetName val="2015 Start"/>
    </sheetNames>
    <sheetDataSet>
      <sheetData sheetId="0" refreshError="1"/>
      <sheetData sheetId="1" refreshError="1"/>
      <sheetData sheetId="2" refreshError="1"/>
      <sheetData sheetId="3" refreshError="1"/>
      <sheetData sheetId="4" refreshError="1"/>
      <sheetData sheetId="5">
        <row r="59">
          <cell r="F59">
            <v>2347.7597471199342</v>
          </cell>
        </row>
      </sheetData>
      <sheetData sheetId="6">
        <row r="6">
          <cell r="C6" t="str">
            <v>April</v>
          </cell>
        </row>
      </sheetData>
      <sheetData sheetId="7" refreshError="1"/>
      <sheetData sheetId="8"/>
      <sheetData sheetId="9" refreshError="1"/>
      <sheetData sheetId="10" refreshError="1"/>
      <sheetData sheetId="11">
        <row r="9">
          <cell r="W9">
            <v>257707</v>
          </cell>
        </row>
      </sheetData>
      <sheetData sheetId="12">
        <row r="161">
          <cell r="W161">
            <v>416083.97467770177</v>
          </cell>
        </row>
      </sheetData>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ow r="11">
          <cell r="CW11">
            <v>68261.12000000001</v>
          </cell>
        </row>
      </sheetData>
      <sheetData sheetId="22" refreshError="1"/>
      <sheetData sheetId="23" refreshError="1"/>
      <sheetData sheetId="24" refreshError="1"/>
      <sheetData sheetId="25" refreshError="1"/>
      <sheetData sheetId="26">
        <row r="27">
          <cell r="I27">
            <v>359.27272727272725</v>
          </cell>
        </row>
      </sheetData>
      <sheetData sheetId="27">
        <row r="35">
          <cell r="N35">
            <v>255475</v>
          </cell>
        </row>
      </sheetData>
      <sheetData sheetId="28">
        <row r="76">
          <cell r="AB76">
            <v>377892.48360031308</v>
          </cell>
        </row>
      </sheetData>
      <sheetData sheetId="29" refreshError="1"/>
      <sheetData sheetId="30">
        <row r="96">
          <cell r="T96">
            <v>255667.21034944241</v>
          </cell>
        </row>
      </sheetData>
      <sheetData sheetId="31">
        <row r="9">
          <cell r="U9">
            <v>280841</v>
          </cell>
        </row>
      </sheetData>
      <sheetData sheetId="32" refreshError="1"/>
      <sheetData sheetId="33" refreshError="1"/>
      <sheetData sheetId="34" refreshError="1"/>
      <sheetData sheetId="35">
        <row r="3">
          <cell r="A3" t="str">
            <v>January</v>
          </cell>
        </row>
        <row r="4">
          <cell r="A4" t="str">
            <v>February</v>
          </cell>
        </row>
        <row r="5">
          <cell r="A5" t="str">
            <v>March</v>
          </cell>
        </row>
        <row r="6">
          <cell r="A6" t="str">
            <v>April</v>
          </cell>
        </row>
        <row r="7">
          <cell r="A7" t="str">
            <v>May</v>
          </cell>
        </row>
        <row r="8">
          <cell r="A8" t="str">
            <v>June</v>
          </cell>
        </row>
        <row r="9">
          <cell r="A9" t="str">
            <v>July</v>
          </cell>
        </row>
        <row r="10">
          <cell r="A10" t="str">
            <v>August</v>
          </cell>
        </row>
        <row r="11">
          <cell r="A11" t="str">
            <v>September</v>
          </cell>
        </row>
        <row r="12">
          <cell r="A12" t="str">
            <v>October</v>
          </cell>
        </row>
        <row r="13">
          <cell r="A13" t="str">
            <v>November</v>
          </cell>
        </row>
        <row r="14">
          <cell r="A14" t="str">
            <v>December</v>
          </cell>
        </row>
      </sheetData>
      <sheetData sheetId="36" refreshError="1"/>
      <sheetData sheetId="37" refreshError="1"/>
      <sheetData sheetId="38" refreshError="1"/>
      <sheetData sheetId="39">
        <row r="128">
          <cell r="T128">
            <v>204131</v>
          </cell>
        </row>
      </sheetData>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roduction"/>
      <sheetName val="1 Identification of AB's"/>
      <sheetName val="2 Accounting principles"/>
      <sheetName val="3 Fraude considerations"/>
      <sheetName val="Related parties"/>
      <sheetName val="Experts"/>
      <sheetName val="Estimates"/>
      <sheetName val="IPE"/>
      <sheetName val="Controls"/>
      <sheetName val="IT Controls"/>
      <sheetName val="Substantive testing"/>
      <sheetName val="Findings"/>
    </sheetNames>
    <sheetDataSet>
      <sheetData sheetId="0" refreshError="1">
        <row r="10">
          <cell r="C10">
            <v>300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verview "/>
      <sheetName val="ROMM Overview"/>
      <sheetName val="Plan Control Testing"/>
      <sheetName val="Sheet1"/>
      <sheetName val="Plan Substantive Testing"/>
      <sheetName val="IPE"/>
      <sheetName val="Notes"/>
      <sheetName val="Assertions"/>
      <sheetName val="Tickmarks"/>
    </sheetNames>
    <sheetDataSet>
      <sheetData sheetId="0" refreshError="1"/>
      <sheetData sheetId="1" refreshError="1"/>
      <sheetData sheetId="2" refreshError="1"/>
      <sheetData sheetId="3">
        <row r="1">
          <cell r="A1" t="str">
            <v>Risk (Not Significant) and Relying on Controls - Low Extent of Testing</v>
          </cell>
        </row>
        <row r="2">
          <cell r="A2" t="str">
            <v>Risk (Not Significant) and Relying on Controls - Normal Extent of Testing</v>
          </cell>
        </row>
        <row r="3">
          <cell r="A3" t="str">
            <v>Significant Risk and Relying on Controls</v>
          </cell>
        </row>
        <row r="4">
          <cell r="A4" t="str">
            <v>Risk (Not Significant) and Not Relying on Controls</v>
          </cell>
        </row>
        <row r="5">
          <cell r="A5" t="str">
            <v>Significant Risk and Not Relying on Controls</v>
          </cell>
        </row>
      </sheetData>
      <sheetData sheetId="4" refreshError="1"/>
      <sheetData sheetId="5" refreshError="1"/>
      <sheetData sheetId="6" refreshError="1"/>
      <sheetData sheetId="7" refreshError="1"/>
      <sheetData sheetId="8"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mary"/>
      <sheetName val="7,5Ah NCA"/>
      <sheetName val="10Ah NCA"/>
      <sheetName val="55Ah NCA"/>
      <sheetName val="20Ah LFP"/>
      <sheetName val="38Ah LFP"/>
      <sheetName val="62Ah LFP"/>
      <sheetName val="PDA"/>
      <sheetName val="cell_design"/>
      <sheetName val="pricelis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ow r="4">
          <cell r="C4">
            <v>10100002</v>
          </cell>
          <cell r="D4" t="str">
            <v>C-NERGY ActiLion 2</v>
          </cell>
          <cell r="F4" t="str">
            <v>EUR/kg</v>
          </cell>
          <cell r="H4" t="str">
            <v>EUR/kg</v>
          </cell>
          <cell r="I4">
            <v>17.899999999999999</v>
          </cell>
          <cell r="J4" t="str">
            <v>EUR/kg</v>
          </cell>
          <cell r="K4">
            <v>17.899999999999999</v>
          </cell>
          <cell r="L4" t="str">
            <v>EUR/kg</v>
          </cell>
        </row>
        <row r="5">
          <cell r="C5">
            <v>10100003</v>
          </cell>
          <cell r="D5" t="str">
            <v>Hitachi Graphite Powder SMG-GA1</v>
          </cell>
          <cell r="E5">
            <v>26.9</v>
          </cell>
          <cell r="F5" t="str">
            <v>EUR/kg</v>
          </cell>
          <cell r="G5">
            <v>26.9</v>
          </cell>
          <cell r="H5" t="str">
            <v>EUR/kg</v>
          </cell>
          <cell r="I5">
            <v>26.9</v>
          </cell>
          <cell r="J5" t="str">
            <v>EUR/kg</v>
          </cell>
          <cell r="K5">
            <v>26.9</v>
          </cell>
          <cell r="L5" t="str">
            <v>EUR/kg</v>
          </cell>
        </row>
        <row r="6">
          <cell r="C6">
            <v>10200002</v>
          </cell>
          <cell r="D6" t="str">
            <v>NAT 9070</v>
          </cell>
          <cell r="E6">
            <v>48.14</v>
          </cell>
          <cell r="F6" t="str">
            <v>EUR/kg</v>
          </cell>
          <cell r="G6">
            <v>48.14</v>
          </cell>
          <cell r="H6" t="str">
            <v>EUR/kg</v>
          </cell>
          <cell r="I6">
            <v>48.14</v>
          </cell>
          <cell r="J6" t="str">
            <v>EUR/kg</v>
          </cell>
          <cell r="K6">
            <v>48.14</v>
          </cell>
          <cell r="L6" t="str">
            <v>EUR/kg</v>
          </cell>
        </row>
        <row r="7">
          <cell r="C7">
            <v>10200003</v>
          </cell>
          <cell r="D7" t="str">
            <v>Life Power ® P2E (LFP)</v>
          </cell>
          <cell r="E7">
            <v>30</v>
          </cell>
          <cell r="F7" t="str">
            <v>EUR/kg</v>
          </cell>
          <cell r="G7">
            <v>25.9</v>
          </cell>
          <cell r="H7" t="str">
            <v>EUR/kg</v>
          </cell>
          <cell r="I7">
            <v>24</v>
          </cell>
          <cell r="J7" t="str">
            <v>EUR/kg</v>
          </cell>
          <cell r="K7">
            <v>24</v>
          </cell>
          <cell r="L7" t="str">
            <v>EUR/kg</v>
          </cell>
        </row>
        <row r="8">
          <cell r="C8">
            <v>10200004</v>
          </cell>
          <cell r="D8" t="str">
            <v>NAT 1050</v>
          </cell>
          <cell r="F8" t="str">
            <v>EUR/kg</v>
          </cell>
          <cell r="H8" t="str">
            <v>EUR/kg</v>
          </cell>
          <cell r="I8">
            <v>55.1</v>
          </cell>
          <cell r="J8" t="str">
            <v>EUR/kg</v>
          </cell>
          <cell r="K8">
            <v>55.1</v>
          </cell>
          <cell r="L8" t="str">
            <v>EUR/kg</v>
          </cell>
        </row>
        <row r="9">
          <cell r="C9">
            <v>10200005</v>
          </cell>
          <cell r="D9" t="str">
            <v>HED LFP 400 (BASF)</v>
          </cell>
          <cell r="F9" t="str">
            <v>EUR/kg</v>
          </cell>
          <cell r="H9" t="str">
            <v>EUR/kg</v>
          </cell>
          <cell r="I9">
            <v>18.600000000000001</v>
          </cell>
          <cell r="J9" t="str">
            <v>EUR/kg</v>
          </cell>
          <cell r="K9">
            <v>19.8</v>
          </cell>
          <cell r="L9" t="str">
            <v>EUR/kg</v>
          </cell>
        </row>
        <row r="10">
          <cell r="C10">
            <v>10300005</v>
          </cell>
          <cell r="D10" t="str">
            <v>Kynar HSV900</v>
          </cell>
          <cell r="E10">
            <v>47.65</v>
          </cell>
          <cell r="F10" t="str">
            <v>EUR/kg</v>
          </cell>
          <cell r="G10">
            <v>47.65</v>
          </cell>
          <cell r="H10" t="str">
            <v>EUR/kg</v>
          </cell>
          <cell r="I10">
            <v>34.26</v>
          </cell>
          <cell r="J10" t="str">
            <v>EUR/kg</v>
          </cell>
          <cell r="K10">
            <v>34.26</v>
          </cell>
          <cell r="L10" t="str">
            <v>EUR/kg</v>
          </cell>
        </row>
        <row r="11">
          <cell r="C11">
            <v>10300006</v>
          </cell>
          <cell r="D11" t="str">
            <v>C-Nergy Super C65</v>
          </cell>
          <cell r="F11" t="str">
            <v>EUR/kg</v>
          </cell>
          <cell r="G11">
            <v>12.24</v>
          </cell>
          <cell r="H11" t="str">
            <v>EUR/kg</v>
          </cell>
          <cell r="I11">
            <v>6.07</v>
          </cell>
          <cell r="J11" t="str">
            <v>EUR/kg</v>
          </cell>
          <cell r="K11">
            <v>6.07</v>
          </cell>
          <cell r="L11" t="str">
            <v>EUR/kg</v>
          </cell>
        </row>
        <row r="12">
          <cell r="C12">
            <v>10300007</v>
          </cell>
          <cell r="D12" t="str">
            <v>C-Nergy KS6 L</v>
          </cell>
          <cell r="F12" t="str">
            <v>EUR/kg</v>
          </cell>
          <cell r="G12">
            <v>13.52</v>
          </cell>
          <cell r="H12" t="str">
            <v>EUR/kg</v>
          </cell>
          <cell r="I12">
            <v>13.52</v>
          </cell>
          <cell r="J12" t="str">
            <v>EUR/kg</v>
          </cell>
          <cell r="K12">
            <v>13.52</v>
          </cell>
          <cell r="L12" t="str">
            <v>EUR/kg</v>
          </cell>
        </row>
        <row r="13">
          <cell r="C13">
            <v>10400001</v>
          </cell>
          <cell r="D13" t="str">
            <v>Selectilyte P-0075 (TT +2% VC)</v>
          </cell>
          <cell r="E13">
            <v>29.79</v>
          </cell>
          <cell r="F13" t="str">
            <v>EUR/kg</v>
          </cell>
          <cell r="G13">
            <v>28.24</v>
          </cell>
          <cell r="H13" t="str">
            <v>EUR/kg</v>
          </cell>
          <cell r="I13">
            <v>28.24</v>
          </cell>
          <cell r="J13" t="str">
            <v>EUR/kg</v>
          </cell>
          <cell r="K13">
            <v>28.24</v>
          </cell>
          <cell r="L13" t="str">
            <v>EUR/kg</v>
          </cell>
        </row>
        <row r="14">
          <cell r="C14">
            <v>10400002</v>
          </cell>
          <cell r="D14" t="str">
            <v>Selectilyte P-0089 (LP30 +2% VC)</v>
          </cell>
          <cell r="E14">
            <v>31.78</v>
          </cell>
          <cell r="F14" t="str">
            <v>EUR/kg</v>
          </cell>
          <cell r="G14">
            <v>31.78</v>
          </cell>
          <cell r="H14" t="str">
            <v>EUR/kg</v>
          </cell>
          <cell r="I14">
            <v>27.8</v>
          </cell>
          <cell r="J14" t="str">
            <v>EUR/kg</v>
          </cell>
          <cell r="K14">
            <v>27.8</v>
          </cell>
          <cell r="L14" t="str">
            <v>EUR/kg</v>
          </cell>
        </row>
        <row r="15">
          <cell r="C15">
            <v>10400003</v>
          </cell>
          <cell r="D15" t="str">
            <v>Selectilyte GA02</v>
          </cell>
          <cell r="E15">
            <v>23.5</v>
          </cell>
          <cell r="F15" t="str">
            <v>EUR/kg</v>
          </cell>
          <cell r="G15">
            <v>23.5</v>
          </cell>
          <cell r="H15" t="str">
            <v>EUR/kg</v>
          </cell>
          <cell r="I15">
            <v>25.45</v>
          </cell>
          <cell r="J15" t="str">
            <v>EUR/kg</v>
          </cell>
          <cell r="K15">
            <v>25.45</v>
          </cell>
          <cell r="L15" t="str">
            <v>EUR/kg</v>
          </cell>
        </row>
        <row r="16">
          <cell r="C16">
            <v>10400004</v>
          </cell>
          <cell r="D16" t="str">
            <v>Selectilyte K&amp;D</v>
          </cell>
          <cell r="K16">
            <v>27.9</v>
          </cell>
          <cell r="L16" t="str">
            <v>EUR/kg</v>
          </cell>
        </row>
        <row r="17">
          <cell r="C17">
            <v>11000001</v>
          </cell>
          <cell r="D17" t="str">
            <v>Kupferfolie BF Plainstainproof 10µm, B=225mm</v>
          </cell>
          <cell r="I17">
            <v>0.35283600000000004</v>
          </cell>
          <cell r="J17" t="str">
            <v>EUR/m</v>
          </cell>
          <cell r="K17">
            <v>0.40100000000000002</v>
          </cell>
          <cell r="L17" t="str">
            <v>EUR/m</v>
          </cell>
        </row>
        <row r="18">
          <cell r="C18">
            <v>11000002</v>
          </cell>
          <cell r="D18" t="str">
            <v>Kupferfolie BF Plainstainproof 10µm, B=198mm</v>
          </cell>
          <cell r="I18">
            <v>0.45084600000000008</v>
          </cell>
          <cell r="J18" t="str">
            <v>EUR/m</v>
          </cell>
          <cell r="K18">
            <v>0.3528</v>
          </cell>
          <cell r="L18" t="str">
            <v>EUR/m</v>
          </cell>
        </row>
        <row r="19">
          <cell r="C19">
            <v>11000003</v>
          </cell>
          <cell r="D19" t="str">
            <v>Kupferfolie BF Plainstainproof 10µm, B=253mm</v>
          </cell>
          <cell r="I19">
            <v>0.50786999999999993</v>
          </cell>
          <cell r="J19" t="str">
            <v>EUR/m</v>
          </cell>
          <cell r="K19">
            <v>0.45079999999999998</v>
          </cell>
          <cell r="L19" t="str">
            <v>EUR/m</v>
          </cell>
        </row>
        <row r="20">
          <cell r="C20" t="str">
            <v>11000003-1</v>
          </cell>
          <cell r="D20" t="str">
            <v>Kupferfolie BF Plainstainproof 10µm, B=126mm</v>
          </cell>
          <cell r="I20">
            <v>0.37065600000000004</v>
          </cell>
          <cell r="J20" t="str">
            <v>EUR/m</v>
          </cell>
          <cell r="K20">
            <v>0.22539999999999999</v>
          </cell>
          <cell r="L20" t="str">
            <v>EUR/m</v>
          </cell>
        </row>
        <row r="21">
          <cell r="C21">
            <v>11000004</v>
          </cell>
          <cell r="D21" t="str">
            <v>Kupferfolie BF Plainstainproof 10µm, B=274mm</v>
          </cell>
          <cell r="I21">
            <v>0.52</v>
          </cell>
          <cell r="J21" t="str">
            <v>EUR/m</v>
          </cell>
          <cell r="K21">
            <v>0.50790000000000002</v>
          </cell>
          <cell r="L21" t="str">
            <v>EUR/m</v>
          </cell>
        </row>
        <row r="22">
          <cell r="C22" t="str">
            <v>11000004-1</v>
          </cell>
          <cell r="D22" t="str">
            <v>Kupferfolie BF Plainstainproof 10µm, B=137mm</v>
          </cell>
          <cell r="I22">
            <v>0.60970000000000002</v>
          </cell>
          <cell r="J22" t="str">
            <v>EUR/m</v>
          </cell>
          <cell r="K22">
            <v>0.25395000000000001</v>
          </cell>
          <cell r="L22" t="str">
            <v>EUR/m</v>
          </cell>
        </row>
        <row r="23">
          <cell r="C23">
            <v>11000008</v>
          </cell>
          <cell r="D23" t="str">
            <v>Kupferfolie BF Plainstainproof 10µm, B=208mm</v>
          </cell>
          <cell r="I23">
            <v>0.80579999999999996</v>
          </cell>
          <cell r="J23" t="str">
            <v>EUR/m</v>
          </cell>
          <cell r="K23">
            <v>0.37069999999999997</v>
          </cell>
          <cell r="L23" t="str">
            <v>EUR/m</v>
          </cell>
        </row>
        <row r="24">
          <cell r="C24">
            <v>11100004</v>
          </cell>
          <cell r="D24" t="str">
            <v>AL15-408-CC1-338-E122 (Toda - Nippon Graphite)</v>
          </cell>
          <cell r="K24">
            <v>0.93020000000000003</v>
          </cell>
          <cell r="L24" t="str">
            <v>EUR/m</v>
          </cell>
        </row>
        <row r="25">
          <cell r="C25" t="str">
            <v>11100004-1</v>
          </cell>
          <cell r="D25" t="str">
            <v>AL15-408-CC1-338-E122 - geteilt</v>
          </cell>
          <cell r="K25">
            <v>0.46510000000000001</v>
          </cell>
          <cell r="L25" t="str">
            <v>EUR/m</v>
          </cell>
        </row>
        <row r="26">
          <cell r="C26">
            <v>11100005</v>
          </cell>
          <cell r="D26" t="str">
            <v>SDK Al-Foil SDX, 15µm, Design 268</v>
          </cell>
          <cell r="K26">
            <v>1.2194</v>
          </cell>
          <cell r="L26" t="str">
            <v>EUR/m</v>
          </cell>
        </row>
        <row r="27">
          <cell r="C27" t="str">
            <v>11100005-1</v>
          </cell>
          <cell r="D27" t="str">
            <v>SDK Al-Foil SDX, 15µm, Design 268 - geteilt</v>
          </cell>
          <cell r="K27">
            <v>0.60970000000000002</v>
          </cell>
          <cell r="L27" t="str">
            <v>EUR/m</v>
          </cell>
        </row>
        <row r="28">
          <cell r="C28">
            <v>11100006</v>
          </cell>
          <cell r="D28" t="str">
            <v>SDK Al-Foil SDX, 15µm, Design 408</v>
          </cell>
          <cell r="K28">
            <v>1.6115999999999999</v>
          </cell>
          <cell r="L28" t="str">
            <v>EUR/m</v>
          </cell>
        </row>
        <row r="29">
          <cell r="C29" t="str">
            <v>11100006-1</v>
          </cell>
          <cell r="D29" t="str">
            <v>SDK Al-Foil SDX, 15µm, Design 408 - geteilt</v>
          </cell>
          <cell r="K29">
            <v>0.80579999999999996</v>
          </cell>
          <cell r="L29" t="str">
            <v>EUR/m</v>
          </cell>
        </row>
        <row r="30">
          <cell r="C30">
            <v>11100007</v>
          </cell>
          <cell r="D30" t="str">
            <v>AL15-408-PC1-338-E102 (Toda - Nippon Graphite)</v>
          </cell>
          <cell r="K30">
            <v>0.93023999999999996</v>
          </cell>
          <cell r="L30" t="str">
            <v>EUR/m</v>
          </cell>
        </row>
        <row r="31">
          <cell r="C31">
            <v>11100008</v>
          </cell>
          <cell r="D31" t="str">
            <v>AL15-268-PC1-228-E102 (Toda - Nippon Graphite)</v>
          </cell>
          <cell r="K31">
            <v>0.76380000000000003</v>
          </cell>
          <cell r="L31" t="str">
            <v>EUR/m</v>
          </cell>
        </row>
        <row r="32">
          <cell r="C32">
            <v>11100009</v>
          </cell>
          <cell r="D32" t="str">
            <v>AL15-244-PC1-194-E102 (Toda - Nippon Graphite)</v>
          </cell>
          <cell r="K32">
            <v>0.69540000000000013</v>
          </cell>
          <cell r="L32" t="str">
            <v>EUR/m</v>
          </cell>
        </row>
        <row r="33">
          <cell r="C33">
            <v>11100010</v>
          </cell>
          <cell r="D33" t="str">
            <v>AL15-388-PC1-338-E102 (Toda - Nippon Graphite)</v>
          </cell>
          <cell r="K33">
            <v>1.1058000000000001</v>
          </cell>
          <cell r="L33" t="str">
            <v>EUR/m</v>
          </cell>
        </row>
        <row r="34">
          <cell r="C34">
            <v>11100011</v>
          </cell>
          <cell r="D34" t="str">
            <v>AL15-408-PC1-338-EnSafe 80 (Armor)</v>
          </cell>
          <cell r="K34">
            <v>0.69359999999999988</v>
          </cell>
          <cell r="L34" t="str">
            <v>EUR/m</v>
          </cell>
        </row>
        <row r="35">
          <cell r="C35">
            <v>11100012</v>
          </cell>
          <cell r="D35" t="str">
            <v>AL15-268-PC1-228-EnSafe 80 (Armor)</v>
          </cell>
          <cell r="K35">
            <v>0.67</v>
          </cell>
          <cell r="L35" t="str">
            <v>EUR/m</v>
          </cell>
        </row>
        <row r="36">
          <cell r="C36">
            <v>11100013</v>
          </cell>
          <cell r="D36" t="str">
            <v>AL15-244-PC1-194-EnSafe 80 (Armor)</v>
          </cell>
          <cell r="K36">
            <v>0.61</v>
          </cell>
          <cell r="L36" t="str">
            <v>EUR/m</v>
          </cell>
        </row>
        <row r="37">
          <cell r="C37">
            <v>11100014</v>
          </cell>
          <cell r="D37" t="str">
            <v>AL15-388-PC1-338-EnSafe 80 (Armor)</v>
          </cell>
          <cell r="K37">
            <v>0.97</v>
          </cell>
          <cell r="L37" t="str">
            <v>EUR/m</v>
          </cell>
        </row>
        <row r="38">
          <cell r="C38">
            <v>11200001</v>
          </cell>
          <cell r="D38" t="str">
            <v>SETELA E16MMS, B=110mm</v>
          </cell>
          <cell r="K38">
            <v>0.31030476190476192</v>
          </cell>
          <cell r="L38" t="str">
            <v>EUR/m</v>
          </cell>
        </row>
        <row r="39">
          <cell r="C39">
            <v>11200002</v>
          </cell>
          <cell r="D39" t="str">
            <v>SETELA E16MMS, B=128,5mm</v>
          </cell>
          <cell r="K39">
            <v>0.3624923809523809</v>
          </cell>
          <cell r="L39" t="str">
            <v>EUR/m</v>
          </cell>
        </row>
        <row r="40">
          <cell r="C40">
            <v>11200003</v>
          </cell>
          <cell r="D40" t="str">
            <v>SETELA E16MMS, B=185mm</v>
          </cell>
          <cell r="K40">
            <v>0.49544761904761908</v>
          </cell>
          <cell r="L40" t="str">
            <v>EUR/m</v>
          </cell>
        </row>
        <row r="41">
          <cell r="C41">
            <v>11200004</v>
          </cell>
          <cell r="D41" t="str">
            <v>SETELA F20BHE, B=110mm</v>
          </cell>
          <cell r="K41">
            <v>0.31030476190476192</v>
          </cell>
          <cell r="L41" t="str">
            <v>EUR/m</v>
          </cell>
        </row>
        <row r="42">
          <cell r="C42">
            <v>11200005</v>
          </cell>
          <cell r="D42" t="str">
            <v>SETELA F20BHE, B=128,5mm</v>
          </cell>
          <cell r="K42">
            <v>0.3624923809523809</v>
          </cell>
          <cell r="L42" t="str">
            <v>EUR/m</v>
          </cell>
        </row>
        <row r="43">
          <cell r="C43">
            <v>11200006</v>
          </cell>
          <cell r="D43" t="str">
            <v>SETELA F20BHE, B=185mm</v>
          </cell>
          <cell r="K43">
            <v>0.52187619047619049</v>
          </cell>
          <cell r="L43" t="str">
            <v>EUR/m</v>
          </cell>
        </row>
        <row r="44">
          <cell r="C44">
            <v>11200007</v>
          </cell>
          <cell r="D44" t="str">
            <v>Celgard H1612-1850M-U</v>
          </cell>
          <cell r="K44">
            <v>0.45171714285714287</v>
          </cell>
          <cell r="L44" t="str">
            <v>EUR/m</v>
          </cell>
        </row>
        <row r="45">
          <cell r="C45">
            <v>11200008</v>
          </cell>
          <cell r="D45" t="str">
            <v>Celgard H1612-1280M-U</v>
          </cell>
          <cell r="K45">
            <v>0.31253942857142858</v>
          </cell>
          <cell r="L45" t="str">
            <v>EUR/m</v>
          </cell>
        </row>
        <row r="46">
          <cell r="C46">
            <v>11200009</v>
          </cell>
          <cell r="D46" t="str">
            <v>Celgard H1612-1100M-U</v>
          </cell>
          <cell r="K46">
            <v>0.2685885714285714</v>
          </cell>
          <cell r="L46" t="str">
            <v>EUR/m</v>
          </cell>
        </row>
        <row r="47">
          <cell r="C47">
            <v>11300001</v>
          </cell>
          <cell r="D47" t="str">
            <v>Hostaphan RNK 23, B=330mm</v>
          </cell>
          <cell r="E47">
            <v>0.05</v>
          </cell>
          <cell r="F47" t="str">
            <v>EUR/m</v>
          </cell>
          <cell r="G47">
            <v>0.05</v>
          </cell>
          <cell r="H47" t="str">
            <v>EUR/m</v>
          </cell>
          <cell r="I47">
            <v>5.0500000000000003E-2</v>
          </cell>
          <cell r="J47" t="str">
            <v>EUR/m</v>
          </cell>
          <cell r="K47">
            <v>5.0500000000000003E-2</v>
          </cell>
          <cell r="L47" t="str">
            <v>EUR/m</v>
          </cell>
        </row>
        <row r="48">
          <cell r="C48">
            <v>11300002</v>
          </cell>
          <cell r="D48" t="str">
            <v>Hostaphan RNK 12, B=250mm</v>
          </cell>
          <cell r="E48">
            <v>0.02</v>
          </cell>
          <cell r="F48" t="str">
            <v>EUR/m</v>
          </cell>
          <cell r="G48">
            <v>0.02</v>
          </cell>
          <cell r="H48" t="str">
            <v>EUR/m</v>
          </cell>
          <cell r="I48">
            <v>2.0299999999999999E-2</v>
          </cell>
          <cell r="J48" t="str">
            <v>EUR/m</v>
          </cell>
          <cell r="K48">
            <v>2.0299999999999999E-2</v>
          </cell>
          <cell r="L48" t="str">
            <v>EUR/m</v>
          </cell>
        </row>
        <row r="49">
          <cell r="C49">
            <v>11300003</v>
          </cell>
          <cell r="D49" t="str">
            <v>Hostaphan RNK 12, B=150mm</v>
          </cell>
          <cell r="F49" t="str">
            <v>EUR/m</v>
          </cell>
          <cell r="G49">
            <v>0.01</v>
          </cell>
          <cell r="H49" t="str">
            <v>EUR/m</v>
          </cell>
          <cell r="I49">
            <v>1.2200000000000001E-2</v>
          </cell>
          <cell r="J49" t="str">
            <v>EUR/m</v>
          </cell>
          <cell r="K49">
            <v>1.2200000000000001E-2</v>
          </cell>
          <cell r="L49" t="str">
            <v>EUR/m</v>
          </cell>
        </row>
        <row r="50">
          <cell r="C50">
            <v>11400001</v>
          </cell>
          <cell r="D50" t="str">
            <v>Ethylencarbonat S</v>
          </cell>
          <cell r="E50">
            <v>2.78</v>
          </cell>
          <cell r="F50" t="str">
            <v>EUR/kg</v>
          </cell>
          <cell r="G50">
            <v>2.78</v>
          </cell>
          <cell r="H50" t="str">
            <v>EUR/kg</v>
          </cell>
          <cell r="I50">
            <v>2.79</v>
          </cell>
          <cell r="J50" t="str">
            <v>EUR/kg</v>
          </cell>
          <cell r="K50">
            <v>2.79</v>
          </cell>
          <cell r="L50" t="str">
            <v>EUR/kg</v>
          </cell>
        </row>
        <row r="51">
          <cell r="C51">
            <v>12000001</v>
          </cell>
          <cell r="D51" t="str">
            <v>Polbolzen Cu M8x22</v>
          </cell>
          <cell r="E51">
            <v>2.59</v>
          </cell>
          <cell r="F51" t="str">
            <v>EUR/pcs</v>
          </cell>
          <cell r="G51">
            <v>2.59</v>
          </cell>
          <cell r="H51" t="str">
            <v>EUR/pcs</v>
          </cell>
          <cell r="I51">
            <v>2.9</v>
          </cell>
          <cell r="J51" t="str">
            <v>EUR/pcs</v>
          </cell>
          <cell r="K51">
            <v>2.9</v>
          </cell>
          <cell r="L51" t="str">
            <v>EUR/pcs</v>
          </cell>
        </row>
        <row r="52">
          <cell r="C52">
            <v>12000002</v>
          </cell>
          <cell r="D52" t="str">
            <v>Polbolzen Al M8x22</v>
          </cell>
          <cell r="E52">
            <v>2.3199999999999998</v>
          </cell>
          <cell r="F52" t="str">
            <v>EUR/pcs</v>
          </cell>
          <cell r="G52">
            <v>2.3199999999999998</v>
          </cell>
          <cell r="H52" t="str">
            <v>EUR/pcs</v>
          </cell>
          <cell r="I52">
            <v>2.2999999999999998</v>
          </cell>
          <cell r="J52" t="str">
            <v>EUR/pcs</v>
          </cell>
          <cell r="K52">
            <v>2.2999999999999998</v>
          </cell>
          <cell r="L52" t="str">
            <v>EUR/pcs</v>
          </cell>
        </row>
        <row r="53">
          <cell r="C53">
            <v>12000003</v>
          </cell>
          <cell r="D53" t="str">
            <v>Polbolzen Cu M12x24</v>
          </cell>
          <cell r="E53">
            <v>4.1100000000000003</v>
          </cell>
          <cell r="F53" t="str">
            <v>EUR/pcs</v>
          </cell>
          <cell r="G53">
            <v>4.1100000000000003</v>
          </cell>
          <cell r="H53" t="str">
            <v>EUR/pcs</v>
          </cell>
          <cell r="I53">
            <v>4.1100000000000003</v>
          </cell>
          <cell r="J53" t="str">
            <v>EUR/pcs</v>
          </cell>
          <cell r="K53">
            <v>4.1100000000000003</v>
          </cell>
          <cell r="L53" t="str">
            <v>EUR/pcs</v>
          </cell>
        </row>
        <row r="54">
          <cell r="C54">
            <v>12000004</v>
          </cell>
          <cell r="D54" t="str">
            <v>Polbolzen Al M12x24</v>
          </cell>
          <cell r="E54">
            <v>2.2799999999999998</v>
          </cell>
          <cell r="F54" t="str">
            <v>EUR/pcs</v>
          </cell>
          <cell r="G54">
            <v>2.2799999999999998</v>
          </cell>
          <cell r="H54" t="str">
            <v>EUR/pcs</v>
          </cell>
          <cell r="I54">
            <v>2.2799999999999998</v>
          </cell>
          <cell r="J54" t="str">
            <v>EUR/pcs</v>
          </cell>
          <cell r="K54">
            <v>2.2799999999999998</v>
          </cell>
          <cell r="L54" t="str">
            <v>EUR/pcs</v>
          </cell>
        </row>
        <row r="55">
          <cell r="C55">
            <v>12000009</v>
          </cell>
          <cell r="D55" t="str">
            <v>Polbolzen Al M12x24_DN35</v>
          </cell>
          <cell r="F55" t="str">
            <v>EUR/pcs</v>
          </cell>
          <cell r="H55" t="str">
            <v>EUR/pcs</v>
          </cell>
          <cell r="I55">
            <v>3.54</v>
          </cell>
          <cell r="J55" t="str">
            <v>EUR/pcs</v>
          </cell>
          <cell r="K55">
            <v>3.54</v>
          </cell>
          <cell r="L55" t="str">
            <v>EUR/pcs</v>
          </cell>
        </row>
        <row r="56">
          <cell r="C56">
            <v>12000010</v>
          </cell>
          <cell r="D56" t="str">
            <v>Polbolzen Cu M12x24_DN35</v>
          </cell>
          <cell r="F56" t="str">
            <v>EUR/pcs</v>
          </cell>
          <cell r="H56" t="str">
            <v>EUR/pcs</v>
          </cell>
          <cell r="I56">
            <v>5.6</v>
          </cell>
          <cell r="J56" t="str">
            <v>EUR/pcs</v>
          </cell>
          <cell r="K56">
            <v>5.6</v>
          </cell>
          <cell r="L56" t="str">
            <v>EUR/pcs</v>
          </cell>
        </row>
        <row r="57">
          <cell r="C57">
            <v>12100001</v>
          </cell>
          <cell r="D57" t="str">
            <v>Rohrhülse 60x203x1</v>
          </cell>
          <cell r="E57">
            <v>2.79</v>
          </cell>
          <cell r="F57" t="str">
            <v>EUR/pcs</v>
          </cell>
          <cell r="G57">
            <v>2.79</v>
          </cell>
          <cell r="H57" t="str">
            <v>EUR/pcs</v>
          </cell>
          <cell r="I57">
            <v>2.79</v>
          </cell>
          <cell r="J57" t="str">
            <v>EUR/pcs</v>
          </cell>
          <cell r="K57">
            <v>1.5</v>
          </cell>
          <cell r="L57" t="str">
            <v>EUR/pcs</v>
          </cell>
        </row>
        <row r="58">
          <cell r="C58">
            <v>12100002</v>
          </cell>
          <cell r="D58" t="str">
            <v>Rohrhülse 60x130x1</v>
          </cell>
          <cell r="E58">
            <v>2.39</v>
          </cell>
          <cell r="F58" t="str">
            <v>EUR/pcs</v>
          </cell>
          <cell r="G58">
            <v>2.39</v>
          </cell>
          <cell r="H58" t="str">
            <v>EUR/pcs</v>
          </cell>
          <cell r="I58">
            <v>1.1000000000000001</v>
          </cell>
          <cell r="J58" t="str">
            <v>EUR/pcs</v>
          </cell>
          <cell r="K58">
            <v>1.1000000000000001</v>
          </cell>
          <cell r="L58" t="str">
            <v>EUR/pcs</v>
          </cell>
        </row>
        <row r="59">
          <cell r="C59">
            <v>12100003</v>
          </cell>
          <cell r="D59" t="str">
            <v>Rohrhülse 33,5x144x0,5</v>
          </cell>
          <cell r="E59">
            <v>4.2</v>
          </cell>
          <cell r="F59" t="str">
            <v>EUR/pcs</v>
          </cell>
          <cell r="G59">
            <v>4.2</v>
          </cell>
          <cell r="H59" t="str">
            <v>EUR/pcs</v>
          </cell>
          <cell r="I59">
            <v>1.62</v>
          </cell>
          <cell r="J59" t="str">
            <v>EUR/pcs</v>
          </cell>
          <cell r="K59">
            <v>0.79339999999999999</v>
          </cell>
          <cell r="L59" t="str">
            <v>EUR/pcs</v>
          </cell>
        </row>
        <row r="60">
          <cell r="C60">
            <v>12100005</v>
          </cell>
          <cell r="D60" t="str">
            <v>Rohrhülse 75x203x0,5</v>
          </cell>
          <cell r="F60" t="str">
            <v>EUR/pcs</v>
          </cell>
          <cell r="H60" t="str">
            <v>EUR/pcs</v>
          </cell>
          <cell r="I60">
            <v>2.86</v>
          </cell>
          <cell r="J60" t="str">
            <v>EUR/pcs</v>
          </cell>
          <cell r="K60">
            <v>2.86</v>
          </cell>
          <cell r="L60" t="str">
            <v>EUR/pcs</v>
          </cell>
        </row>
        <row r="61">
          <cell r="C61">
            <v>12200001</v>
          </cell>
          <cell r="D61" t="str">
            <v>Deckel 58x0,5 mit Berstzunge</v>
          </cell>
          <cell r="E61">
            <v>0.28000000000000003</v>
          </cell>
          <cell r="F61" t="str">
            <v>EUR/pcs</v>
          </cell>
          <cell r="G61">
            <v>0.28000000000000003</v>
          </cell>
          <cell r="H61" t="str">
            <v>EUR/pcs</v>
          </cell>
          <cell r="I61">
            <v>0.2475</v>
          </cell>
          <cell r="J61" t="str">
            <v>EUR/pcs</v>
          </cell>
          <cell r="K61">
            <v>0.2475</v>
          </cell>
          <cell r="L61" t="str">
            <v>EUR/pcs</v>
          </cell>
        </row>
        <row r="62">
          <cell r="C62">
            <v>12200002</v>
          </cell>
          <cell r="D62" t="str">
            <v>Deckel 32,5x0,5</v>
          </cell>
          <cell r="E62">
            <v>0.2</v>
          </cell>
          <cell r="F62" t="str">
            <v>EUR/pcs</v>
          </cell>
          <cell r="G62">
            <v>0.2</v>
          </cell>
          <cell r="H62" t="str">
            <v>EUR/pcs</v>
          </cell>
          <cell r="I62">
            <v>0.18149999999999999</v>
          </cell>
          <cell r="J62" t="str">
            <v>EUR/pcs</v>
          </cell>
          <cell r="K62">
            <v>0.18149999999999999</v>
          </cell>
          <cell r="L62" t="str">
            <v>EUR/pcs</v>
          </cell>
        </row>
        <row r="63">
          <cell r="C63">
            <v>12200004</v>
          </cell>
          <cell r="D63" t="str">
            <v>Deckel 74x0,5</v>
          </cell>
          <cell r="F63" t="str">
            <v>EUR/pcs</v>
          </cell>
          <cell r="H63" t="str">
            <v>EUR/pcs</v>
          </cell>
          <cell r="I63">
            <v>0.49</v>
          </cell>
          <cell r="J63" t="str">
            <v>EUR/pcs</v>
          </cell>
          <cell r="K63">
            <v>0.49</v>
          </cell>
          <cell r="L63" t="str">
            <v>EUR/pcs</v>
          </cell>
        </row>
        <row r="64">
          <cell r="C64">
            <v>12300001</v>
          </cell>
          <cell r="D64" t="str">
            <v>Berstmembran 18x0,025 in 1.4404</v>
          </cell>
          <cell r="E64">
            <v>0.18</v>
          </cell>
          <cell r="F64" t="str">
            <v>EUR/pcs</v>
          </cell>
          <cell r="G64">
            <v>0.18</v>
          </cell>
          <cell r="H64" t="str">
            <v>EUR/pcs</v>
          </cell>
          <cell r="I64">
            <v>0.1777</v>
          </cell>
          <cell r="J64" t="str">
            <v>EUR/pcs</v>
          </cell>
          <cell r="K64">
            <v>0.1777</v>
          </cell>
          <cell r="L64" t="str">
            <v>EUR/pcs</v>
          </cell>
        </row>
        <row r="65">
          <cell r="C65">
            <v>12300002</v>
          </cell>
          <cell r="D65" t="str">
            <v>Berstmembran 18x0,100 in Peek</v>
          </cell>
          <cell r="E65">
            <v>0.06</v>
          </cell>
          <cell r="F65" t="str">
            <v>EUR/pcs</v>
          </cell>
          <cell r="G65">
            <v>0.06</v>
          </cell>
          <cell r="H65" t="str">
            <v>EUR/pcs</v>
          </cell>
          <cell r="I65">
            <v>5.1700000000000003E-2</v>
          </cell>
          <cell r="J65" t="str">
            <v>EUR/pcs</v>
          </cell>
          <cell r="K65">
            <v>5.1700000000000003E-2</v>
          </cell>
          <cell r="L65" t="str">
            <v>EUR/pcs</v>
          </cell>
        </row>
        <row r="66">
          <cell r="C66">
            <v>12400005</v>
          </cell>
          <cell r="D66" t="str">
            <v>Zellkern 10x6x122</v>
          </cell>
          <cell r="F66" t="str">
            <v>EUR/pcs</v>
          </cell>
          <cell r="H66" t="str">
            <v>EUR/pcs</v>
          </cell>
          <cell r="I66">
            <v>1.1200000000000001</v>
          </cell>
          <cell r="J66" t="str">
            <v>EUR/pcs</v>
          </cell>
          <cell r="K66">
            <v>0.16270000000000001</v>
          </cell>
          <cell r="L66" t="str">
            <v>EUR/pcs</v>
          </cell>
        </row>
        <row r="67">
          <cell r="C67">
            <v>12400006</v>
          </cell>
          <cell r="D67" t="str">
            <v>Zellkern 10x6x179</v>
          </cell>
          <cell r="K67">
            <v>0.20760000000000001</v>
          </cell>
          <cell r="L67" t="str">
            <v>EUR/pcs</v>
          </cell>
        </row>
        <row r="68">
          <cell r="C68">
            <v>12400007</v>
          </cell>
          <cell r="D68" t="str">
            <v>Zellkern 10x6x105</v>
          </cell>
          <cell r="K68">
            <v>0.1517</v>
          </cell>
          <cell r="L68" t="str">
            <v>EUR/pcs</v>
          </cell>
        </row>
        <row r="69">
          <cell r="C69">
            <v>12500001</v>
          </cell>
          <cell r="D69" t="str">
            <v>Doppel O-Ring 26x19x1,5</v>
          </cell>
          <cell r="E69">
            <v>0.06</v>
          </cell>
          <cell r="F69" t="str">
            <v>EUR/pcs</v>
          </cell>
          <cell r="G69">
            <v>0.06</v>
          </cell>
          <cell r="H69" t="str">
            <v>EUR/pcs</v>
          </cell>
          <cell r="I69">
            <v>5.7200000000000001E-2</v>
          </cell>
          <cell r="J69" t="str">
            <v>EUR/pcs</v>
          </cell>
          <cell r="K69">
            <v>5.8700000000000002E-2</v>
          </cell>
          <cell r="L69" t="str">
            <v>EUR/pcs</v>
          </cell>
        </row>
        <row r="70">
          <cell r="C70">
            <v>12500002</v>
          </cell>
          <cell r="D70" t="str">
            <v>O-Ring 15x12x1,5</v>
          </cell>
          <cell r="E70">
            <v>0.03</v>
          </cell>
          <cell r="F70" t="str">
            <v>EUR/pcs</v>
          </cell>
          <cell r="G70">
            <v>0.03</v>
          </cell>
          <cell r="H70" t="str">
            <v>EUR/pcs</v>
          </cell>
          <cell r="I70">
            <v>3.8699999999999998E-2</v>
          </cell>
          <cell r="J70" t="str">
            <v>EUR/pcs</v>
          </cell>
          <cell r="K70">
            <v>4.3900000000000002E-2</v>
          </cell>
          <cell r="L70" t="str">
            <v>EUR/pcs</v>
          </cell>
        </row>
        <row r="71">
          <cell r="C71">
            <v>12600001</v>
          </cell>
          <cell r="D71" t="str">
            <v>Distanzscheibe 24x12x2,5 - rot</v>
          </cell>
          <cell r="E71">
            <v>0.06</v>
          </cell>
          <cell r="F71" t="str">
            <v>EUR/pcs</v>
          </cell>
          <cell r="G71">
            <v>0.06</v>
          </cell>
          <cell r="H71" t="str">
            <v>EUR/pcs</v>
          </cell>
          <cell r="I71">
            <v>0.06</v>
          </cell>
          <cell r="J71" t="str">
            <v>EUR/pcs</v>
          </cell>
          <cell r="K71">
            <v>0.06</v>
          </cell>
          <cell r="L71" t="str">
            <v>EUR/pcs</v>
          </cell>
        </row>
        <row r="72">
          <cell r="C72">
            <v>12600002</v>
          </cell>
          <cell r="D72" t="str">
            <v>Distanzscheibe 24x12x2,5 - schwarz</v>
          </cell>
          <cell r="E72">
            <v>0.06</v>
          </cell>
          <cell r="F72" t="str">
            <v>EUR/pcs</v>
          </cell>
          <cell r="G72">
            <v>0.06</v>
          </cell>
          <cell r="H72" t="str">
            <v>EUR/pcs</v>
          </cell>
          <cell r="I72">
            <v>0.06</v>
          </cell>
          <cell r="J72" t="str">
            <v>EUR/pcs</v>
          </cell>
          <cell r="K72">
            <v>0.06</v>
          </cell>
          <cell r="L72" t="str">
            <v>EUR/pcs</v>
          </cell>
        </row>
        <row r="73">
          <cell r="C73">
            <v>12600003</v>
          </cell>
          <cell r="D73" t="str">
            <v>Verdrehsicherung 12x8x2,4</v>
          </cell>
          <cell r="E73">
            <v>0.14000000000000001</v>
          </cell>
          <cell r="F73" t="str">
            <v>EUR/pcs</v>
          </cell>
          <cell r="G73">
            <v>0.14000000000000001</v>
          </cell>
          <cell r="H73" t="str">
            <v>EUR/pcs</v>
          </cell>
          <cell r="I73">
            <v>0.19</v>
          </cell>
          <cell r="J73" t="str">
            <v>EUR/pcs</v>
          </cell>
          <cell r="K73">
            <v>0.19</v>
          </cell>
          <cell r="L73" t="str">
            <v>EUR/pcs</v>
          </cell>
        </row>
        <row r="74">
          <cell r="C74">
            <v>12600004</v>
          </cell>
          <cell r="D74" t="str">
            <v>Distanzscheibe Innen 32,5x15x1</v>
          </cell>
          <cell r="E74">
            <v>0.15</v>
          </cell>
          <cell r="F74" t="str">
            <v>EUR/pcs</v>
          </cell>
          <cell r="G74">
            <v>0.15</v>
          </cell>
          <cell r="H74" t="str">
            <v>EUR/pcs</v>
          </cell>
          <cell r="I74">
            <v>0.16</v>
          </cell>
          <cell r="J74" t="str">
            <v>EUR/pcs</v>
          </cell>
          <cell r="K74">
            <v>0.16</v>
          </cell>
          <cell r="L74" t="str">
            <v>EUR/pcs</v>
          </cell>
        </row>
        <row r="75">
          <cell r="C75">
            <v>12600005</v>
          </cell>
          <cell r="D75" t="str">
            <v>Distanzscheibe 50x18x2,5 - rot</v>
          </cell>
          <cell r="E75">
            <v>0.06</v>
          </cell>
          <cell r="F75" t="str">
            <v>EUR/pcs</v>
          </cell>
          <cell r="G75">
            <v>0.06</v>
          </cell>
          <cell r="H75" t="str">
            <v>EUR/pcs</v>
          </cell>
          <cell r="I75">
            <v>0.06</v>
          </cell>
          <cell r="J75" t="str">
            <v>EUR/pcs</v>
          </cell>
          <cell r="K75">
            <v>0.06</v>
          </cell>
          <cell r="L75" t="str">
            <v>EUR/pcs</v>
          </cell>
        </row>
        <row r="76">
          <cell r="C76">
            <v>12600006</v>
          </cell>
          <cell r="D76" t="str">
            <v>Distanzscheibe 50x18x2,5 - schwarz</v>
          </cell>
          <cell r="E76">
            <v>0.06</v>
          </cell>
          <cell r="F76" t="str">
            <v>EUR/pcs</v>
          </cell>
          <cell r="G76">
            <v>0.06</v>
          </cell>
          <cell r="H76" t="str">
            <v>EUR/pcs</v>
          </cell>
          <cell r="I76">
            <v>0.06</v>
          </cell>
          <cell r="J76" t="str">
            <v>EUR/pcs</v>
          </cell>
          <cell r="K76">
            <v>0.06</v>
          </cell>
          <cell r="L76" t="str">
            <v>EUR/pcs</v>
          </cell>
        </row>
        <row r="77">
          <cell r="C77">
            <v>12600007</v>
          </cell>
          <cell r="D77" t="str">
            <v>Verdrehsicherung 19x12x2,5</v>
          </cell>
          <cell r="E77">
            <v>0.16</v>
          </cell>
          <cell r="F77" t="str">
            <v>EUR/pcs</v>
          </cell>
          <cell r="G77">
            <v>0.16</v>
          </cell>
          <cell r="H77" t="str">
            <v>EUR/pcs</v>
          </cell>
          <cell r="I77">
            <v>0.21</v>
          </cell>
          <cell r="J77" t="str">
            <v>EUR/pcs</v>
          </cell>
          <cell r="K77">
            <v>0.21</v>
          </cell>
          <cell r="L77" t="str">
            <v>EUR/pcs</v>
          </cell>
        </row>
        <row r="78">
          <cell r="C78">
            <v>12600008</v>
          </cell>
          <cell r="D78" t="str">
            <v>Distanzscheibe Innen 58x26x7</v>
          </cell>
          <cell r="E78">
            <v>0.23</v>
          </cell>
          <cell r="F78" t="str">
            <v>EUR/pcs</v>
          </cell>
          <cell r="G78">
            <v>0.23</v>
          </cell>
          <cell r="H78" t="str">
            <v>EUR/pcs</v>
          </cell>
          <cell r="I78">
            <v>0.23</v>
          </cell>
          <cell r="J78" t="str">
            <v>EUR/pcs</v>
          </cell>
          <cell r="K78">
            <v>0.23</v>
          </cell>
          <cell r="L78" t="str">
            <v>EUR/pcs</v>
          </cell>
        </row>
        <row r="79">
          <cell r="C79">
            <v>12600012</v>
          </cell>
          <cell r="D79" t="str">
            <v>Distanzscheibe Innen 74x26x1</v>
          </cell>
          <cell r="F79" t="str">
            <v>EUR/pcs</v>
          </cell>
          <cell r="H79" t="str">
            <v>EUR/pcs</v>
          </cell>
          <cell r="I79">
            <v>0.44</v>
          </cell>
          <cell r="J79" t="str">
            <v>EUR/pcs</v>
          </cell>
          <cell r="K79">
            <v>0.438</v>
          </cell>
          <cell r="L79" t="str">
            <v>EUR/pcs</v>
          </cell>
        </row>
        <row r="80">
          <cell r="C80">
            <v>12600013</v>
          </cell>
          <cell r="D80" t="str">
            <v>Distanzscheibe rot 67x18x2</v>
          </cell>
          <cell r="F80" t="str">
            <v>EUR/pcs</v>
          </cell>
          <cell r="H80" t="str">
            <v>EUR/pcs</v>
          </cell>
          <cell r="I80">
            <v>0.1</v>
          </cell>
          <cell r="J80" t="str">
            <v>EUR/pcs</v>
          </cell>
          <cell r="K80">
            <v>9.9000000000000005E-2</v>
          </cell>
          <cell r="L80" t="str">
            <v>EUR/pcs</v>
          </cell>
        </row>
        <row r="81">
          <cell r="C81">
            <v>12600014</v>
          </cell>
          <cell r="D81" t="str">
            <v>Distanzscheibe schwarz 67x18x2</v>
          </cell>
          <cell r="F81" t="str">
            <v>EUR/pcs</v>
          </cell>
          <cell r="H81" t="str">
            <v>EUR/pcs</v>
          </cell>
          <cell r="I81">
            <v>0.1</v>
          </cell>
          <cell r="J81" t="str">
            <v>EUR/pcs</v>
          </cell>
          <cell r="K81">
            <v>9.8000000000000004E-2</v>
          </cell>
          <cell r="L81" t="str">
            <v>EUR/pcs</v>
          </cell>
        </row>
        <row r="82">
          <cell r="C82">
            <v>12700008</v>
          </cell>
          <cell r="D82" t="str">
            <v>Sicherungsmutter M12 - aus EN AW 7075</v>
          </cell>
          <cell r="F82" t="str">
            <v>EUR/pcs</v>
          </cell>
          <cell r="H82" t="str">
            <v>EUR/pcs</v>
          </cell>
          <cell r="J82" t="str">
            <v>EUR/pcs</v>
          </cell>
          <cell r="K82">
            <v>0.61</v>
          </cell>
          <cell r="L82" t="str">
            <v>EUR/pcs</v>
          </cell>
        </row>
        <row r="83">
          <cell r="C83">
            <v>12700009</v>
          </cell>
          <cell r="D83" t="str">
            <v>Sicherungsmutter M8 - aus EN AW 7075</v>
          </cell>
          <cell r="F83" t="str">
            <v>EUR/pcs</v>
          </cell>
          <cell r="H83" t="str">
            <v>EUR/pcs</v>
          </cell>
          <cell r="J83" t="str">
            <v>EUR/pcs</v>
          </cell>
          <cell r="K83">
            <v>0.59</v>
          </cell>
          <cell r="L83" t="str">
            <v>EUR/pcs</v>
          </cell>
        </row>
        <row r="84">
          <cell r="C84">
            <v>12700004</v>
          </cell>
          <cell r="D84" t="str">
            <v>Tellerfederscheibe 16x8,2x0,6</v>
          </cell>
          <cell r="E84">
            <v>0.13</v>
          </cell>
          <cell r="F84" t="str">
            <v>EUR/pcs</v>
          </cell>
          <cell r="G84">
            <v>0.13</v>
          </cell>
          <cell r="H84" t="str">
            <v>EUR/pcs</v>
          </cell>
          <cell r="I84">
            <v>5.7700000000000001E-2</v>
          </cell>
          <cell r="J84" t="str">
            <v>EUR/pcs</v>
          </cell>
          <cell r="K84">
            <v>5.7700000000000001E-2</v>
          </cell>
          <cell r="L84" t="str">
            <v>EUR/pcs</v>
          </cell>
        </row>
        <row r="85">
          <cell r="C85">
            <v>12700005</v>
          </cell>
          <cell r="D85" t="str">
            <v>Tellerfederscheibe 25x12,2x0,7</v>
          </cell>
          <cell r="E85">
            <v>0.12</v>
          </cell>
          <cell r="F85" t="str">
            <v>EUR/pcs</v>
          </cell>
          <cell r="G85">
            <v>0.12</v>
          </cell>
          <cell r="H85" t="str">
            <v>EUR/pcs</v>
          </cell>
          <cell r="I85">
            <v>0.1</v>
          </cell>
          <cell r="J85" t="str">
            <v>EUR/pcs</v>
          </cell>
          <cell r="K85">
            <v>0.1045</v>
          </cell>
          <cell r="L85" t="str">
            <v>EUR/pcs</v>
          </cell>
        </row>
        <row r="86">
          <cell r="C86">
            <v>12900001</v>
          </cell>
          <cell r="D86" t="str">
            <v>Koenig Expander Dichtstopfen LK 600-040</v>
          </cell>
          <cell r="E86">
            <v>0.71</v>
          </cell>
          <cell r="F86" t="str">
            <v>EUR/pcs</v>
          </cell>
          <cell r="G86">
            <v>0.71</v>
          </cell>
          <cell r="H86" t="str">
            <v>EUR/pcs</v>
          </cell>
          <cell r="I86">
            <v>1.01</v>
          </cell>
          <cell r="J86" t="str">
            <v>EUR/pcs</v>
          </cell>
          <cell r="K86">
            <v>1.01</v>
          </cell>
          <cell r="L86" t="str">
            <v>EUR/pcs</v>
          </cell>
        </row>
        <row r="87">
          <cell r="C87">
            <v>13000001</v>
          </cell>
          <cell r="D87" t="str">
            <v>Schmelzklebstoff 3748 Q</v>
          </cell>
          <cell r="E87">
            <v>26.1</v>
          </cell>
          <cell r="F87" t="str">
            <v>EUR/kg</v>
          </cell>
          <cell r="G87">
            <v>26.1</v>
          </cell>
          <cell r="H87" t="str">
            <v>EUR/kg</v>
          </cell>
          <cell r="I87">
            <v>30.54</v>
          </cell>
          <cell r="J87" t="str">
            <v>EUR/kg</v>
          </cell>
          <cell r="K87">
            <v>30.54</v>
          </cell>
          <cell r="L87" t="str">
            <v>EUR/kg</v>
          </cell>
        </row>
        <row r="88">
          <cell r="C88">
            <v>13000002</v>
          </cell>
          <cell r="D88" t="str">
            <v>Schmelzklebstoff 3748 PGII</v>
          </cell>
          <cell r="E88">
            <v>26.1</v>
          </cell>
          <cell r="F88" t="str">
            <v>EUR/kg</v>
          </cell>
          <cell r="G88">
            <v>26.1</v>
          </cell>
          <cell r="H88" t="str">
            <v>EUR/kg</v>
          </cell>
          <cell r="I88">
            <v>29.44</v>
          </cell>
          <cell r="J88" t="str">
            <v>EUR/kg</v>
          </cell>
          <cell r="K88">
            <v>29.44</v>
          </cell>
          <cell r="L88" t="str">
            <v>EUR/kg</v>
          </cell>
        </row>
        <row r="89">
          <cell r="C89">
            <v>13000003</v>
          </cell>
          <cell r="D89" t="str">
            <v>3M Elektroisolierband Nr. 5, 25mm x 66m</v>
          </cell>
          <cell r="E89">
            <v>7.0000000000000007E-2</v>
          </cell>
          <cell r="F89" t="str">
            <v>EUR/m</v>
          </cell>
          <cell r="G89">
            <v>7.0000000000000007E-2</v>
          </cell>
          <cell r="H89" t="str">
            <v>EUR/m</v>
          </cell>
          <cell r="I89">
            <v>0.06</v>
          </cell>
          <cell r="J89" t="str">
            <v>EUR/m</v>
          </cell>
          <cell r="K89">
            <v>0.06</v>
          </cell>
          <cell r="L89" t="str">
            <v>EUR/m</v>
          </cell>
        </row>
        <row r="90">
          <cell r="C90">
            <v>13000004</v>
          </cell>
          <cell r="D90" t="str">
            <v>3M Elektroisolierband Nr. 5, 200mm x 66m</v>
          </cell>
          <cell r="E90">
            <v>0.6</v>
          </cell>
          <cell r="F90" t="str">
            <v>EUR/m</v>
          </cell>
          <cell r="G90">
            <v>0.6</v>
          </cell>
          <cell r="H90" t="str">
            <v>EUR/m</v>
          </cell>
          <cell r="I90">
            <v>0.6</v>
          </cell>
          <cell r="J90" t="str">
            <v>EUR/m</v>
          </cell>
          <cell r="K90">
            <v>0.6</v>
          </cell>
          <cell r="L90" t="str">
            <v>EUR/m</v>
          </cell>
        </row>
        <row r="91">
          <cell r="C91">
            <v>13000005</v>
          </cell>
          <cell r="D91" t="str">
            <v>3M Elektroisolierband Nr. 5, 140mm x 66m</v>
          </cell>
          <cell r="E91">
            <v>0.41</v>
          </cell>
          <cell r="F91" t="str">
            <v>EUR/m</v>
          </cell>
          <cell r="G91">
            <v>0.41</v>
          </cell>
          <cell r="H91" t="str">
            <v>EUR/m</v>
          </cell>
          <cell r="I91">
            <v>0.41</v>
          </cell>
          <cell r="J91" t="str">
            <v>EUR/m</v>
          </cell>
          <cell r="K91">
            <v>0.41</v>
          </cell>
          <cell r="L91" t="str">
            <v>EUR/m</v>
          </cell>
        </row>
        <row r="92">
          <cell r="C92">
            <v>13000006</v>
          </cell>
          <cell r="D92" t="str">
            <v>3M Elektroisolierband Nr. 5, 120mm x 66m</v>
          </cell>
          <cell r="E92">
            <v>0.36</v>
          </cell>
          <cell r="F92" t="str">
            <v>EUR/m</v>
          </cell>
          <cell r="G92">
            <v>0.36</v>
          </cell>
          <cell r="H92" t="str">
            <v>EUR/m</v>
          </cell>
          <cell r="I92">
            <v>0.36</v>
          </cell>
          <cell r="J92" t="str">
            <v>EUR/m</v>
          </cell>
          <cell r="K92">
            <v>0.36</v>
          </cell>
          <cell r="L92" t="str">
            <v>EUR/m</v>
          </cell>
        </row>
        <row r="93">
          <cell r="C93">
            <v>13100001</v>
          </cell>
          <cell r="D93" t="str">
            <v>externer Schrumpfschlauch 97x0,10mm - transparent</v>
          </cell>
          <cell r="E93">
            <v>0.32</v>
          </cell>
          <cell r="F93" t="str">
            <v>EUR/m</v>
          </cell>
          <cell r="G93">
            <v>0.32</v>
          </cell>
          <cell r="H93" t="str">
            <v>EUR/m</v>
          </cell>
          <cell r="I93">
            <v>0.43</v>
          </cell>
          <cell r="J93" t="str">
            <v>EUR/m</v>
          </cell>
          <cell r="K93">
            <v>0.434</v>
          </cell>
          <cell r="L93" t="str">
            <v>EUR/m</v>
          </cell>
        </row>
        <row r="94">
          <cell r="C94">
            <v>13100002</v>
          </cell>
          <cell r="D94" t="str">
            <v>externer Schrumpfschlauch 53,0mmx0,10mm - transp.</v>
          </cell>
          <cell r="E94">
            <v>0.5</v>
          </cell>
          <cell r="F94" t="str">
            <v>EUR/m</v>
          </cell>
          <cell r="G94">
            <v>0.5</v>
          </cell>
          <cell r="H94" t="str">
            <v>EUR/m</v>
          </cell>
          <cell r="I94">
            <v>0.56299999999999994</v>
          </cell>
          <cell r="J94" t="str">
            <v>EUR/m</v>
          </cell>
          <cell r="K94">
            <v>0.56299999999999994</v>
          </cell>
          <cell r="L94" t="str">
            <v>EUR/m</v>
          </cell>
        </row>
        <row r="95">
          <cell r="C95">
            <v>13100003</v>
          </cell>
          <cell r="D95" t="str">
            <v>interner PET HS - 95,0 x 0,05 mm - transparent</v>
          </cell>
          <cell r="F95" t="str">
            <v>EUR/m</v>
          </cell>
          <cell r="H95" t="str">
            <v>EUR/m</v>
          </cell>
          <cell r="I95">
            <v>1.93</v>
          </cell>
          <cell r="J95" t="str">
            <v>EUR/m</v>
          </cell>
          <cell r="K95">
            <v>1.93</v>
          </cell>
          <cell r="L95" t="str">
            <v>EUR/m</v>
          </cell>
        </row>
        <row r="96">
          <cell r="C96">
            <v>13100004</v>
          </cell>
          <cell r="D96" t="str">
            <v>interner PET HS - 56,7 x 0,05 mm - transparent</v>
          </cell>
          <cell r="F96" t="str">
            <v>EUR/m</v>
          </cell>
          <cell r="H96" t="str">
            <v>EUR/m</v>
          </cell>
          <cell r="I96">
            <v>0.96</v>
          </cell>
          <cell r="J96" t="str">
            <v>EUR/m</v>
          </cell>
          <cell r="K96">
            <v>0.96</v>
          </cell>
          <cell r="L96" t="str">
            <v>EUR/m</v>
          </cell>
        </row>
        <row r="97">
          <cell r="C97">
            <v>13100005</v>
          </cell>
          <cell r="D97" t="str">
            <v>interner PET HS - 120,0 x 0,10 mm - transparent</v>
          </cell>
          <cell r="F97" t="str">
            <v>EUR/m</v>
          </cell>
          <cell r="H97" t="str">
            <v>EUR/m</v>
          </cell>
          <cell r="I97">
            <v>2.73</v>
          </cell>
          <cell r="J97" t="str">
            <v>EUR/m</v>
          </cell>
          <cell r="K97">
            <v>2.73</v>
          </cell>
          <cell r="L97" t="str">
            <v>EUR/m</v>
          </cell>
        </row>
        <row r="98">
          <cell r="C98">
            <v>13100007</v>
          </cell>
          <cell r="D98" t="str">
            <v>externer Schrumpfschlauch 120x0,10mm - transparent</v>
          </cell>
          <cell r="F98" t="str">
            <v>EUR/m</v>
          </cell>
          <cell r="H98" t="str">
            <v>EUR/m</v>
          </cell>
          <cell r="I98">
            <v>0.6</v>
          </cell>
          <cell r="J98" t="str">
            <v>EUR/m</v>
          </cell>
          <cell r="K98">
            <v>0.96699999999999997</v>
          </cell>
          <cell r="L98" t="str">
            <v>EUR/m</v>
          </cell>
        </row>
        <row r="99">
          <cell r="C99">
            <v>70400001</v>
          </cell>
          <cell r="D99" t="str">
            <v>Hutmutter, M8, PA natur</v>
          </cell>
          <cell r="F99" t="str">
            <v>EUR/pcs</v>
          </cell>
          <cell r="H99" t="str">
            <v>EUR/pcs</v>
          </cell>
          <cell r="I99">
            <v>5.8950000000000002E-2</v>
          </cell>
          <cell r="J99" t="str">
            <v>EUR/pcs</v>
          </cell>
          <cell r="K99">
            <v>5.8950000000000002E-2</v>
          </cell>
          <cell r="L99" t="str">
            <v>EUR/pcs</v>
          </cell>
        </row>
        <row r="100">
          <cell r="C100">
            <v>70400002</v>
          </cell>
          <cell r="D100" t="str">
            <v>Hutmutter, M12, PA natur</v>
          </cell>
          <cell r="F100" t="str">
            <v>EUR/pcs</v>
          </cell>
          <cell r="H100" t="str">
            <v>EUR/pcs</v>
          </cell>
          <cell r="I100">
            <v>0.10726999999999999</v>
          </cell>
          <cell r="J100" t="str">
            <v>EUR/pcs</v>
          </cell>
          <cell r="K100">
            <v>0.10726999999999999</v>
          </cell>
          <cell r="L100" t="str">
            <v>EUR/pcs</v>
          </cell>
        </row>
      </sheetData>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cro1"/>
      <sheetName val="Sheet2"/>
      <sheetName val="Sheet1"/>
    </sheetNames>
    <sheetDataSet>
      <sheetData sheetId="0">
        <row r="131">
          <cell r="A131" t="str">
            <v>Recover</v>
          </cell>
        </row>
      </sheetData>
      <sheetData sheetId="1"/>
      <sheetData sheetId="2"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DH activity Target Analysis"/>
      <sheetName val="MoM"/>
      <sheetName val="Tabelle1"/>
      <sheetName val="History"/>
      <sheetName val="Definitions"/>
      <sheetName val="Master"/>
      <sheetName val="Tabelle2"/>
    </sheetNames>
    <sheetDataSet>
      <sheetData sheetId="0">
        <row r="1062">
          <cell r="F1062">
            <v>0</v>
          </cell>
        </row>
        <row r="1063">
          <cell r="F1063">
            <v>0</v>
          </cell>
        </row>
        <row r="1064">
          <cell r="F1064">
            <v>0</v>
          </cell>
        </row>
        <row r="1065">
          <cell r="F1065">
            <v>0</v>
          </cell>
        </row>
        <row r="1066">
          <cell r="F1066">
            <v>0</v>
          </cell>
        </row>
        <row r="1067">
          <cell r="F1067">
            <v>0</v>
          </cell>
        </row>
        <row r="1068">
          <cell r="F1068">
            <v>0</v>
          </cell>
        </row>
        <row r="1069">
          <cell r="F1069">
            <v>0</v>
          </cell>
        </row>
        <row r="1070">
          <cell r="F1070">
            <v>0</v>
          </cell>
        </row>
        <row r="1071">
          <cell r="F1071">
            <v>0</v>
          </cell>
        </row>
        <row r="1072">
          <cell r="F1072">
            <v>0</v>
          </cell>
        </row>
        <row r="1073">
          <cell r="F1073">
            <v>0</v>
          </cell>
        </row>
        <row r="1074">
          <cell r="F1074">
            <v>0</v>
          </cell>
        </row>
        <row r="1075">
          <cell r="F1075">
            <v>0</v>
          </cell>
        </row>
      </sheetData>
      <sheetData sheetId="1"/>
      <sheetData sheetId="2"/>
      <sheetData sheetId="3"/>
      <sheetData sheetId="4"/>
      <sheetData sheetId="5"/>
      <sheetData sheetId="6"/>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cenarios"/>
      <sheetName val="Batteries Scenarios (2)"/>
      <sheetName val="Macro Bateries Drivers"/>
      <sheetName val="Balance Sheet"/>
      <sheetName val="Income Statement EUR'000"/>
      <sheetName val="Cash Flow"/>
      <sheetName val="Loan Portfolio"/>
      <sheetName val="CrudeActuals"/>
    </sheetNames>
    <sheetDataSet>
      <sheetData sheetId="0"/>
      <sheetData sheetId="1"/>
      <sheetData sheetId="2">
        <row r="10">
          <cell r="O10">
            <v>0</v>
          </cell>
        </row>
        <row r="17">
          <cell r="O17">
            <v>0.04</v>
          </cell>
        </row>
        <row r="25">
          <cell r="O25">
            <v>0.04</v>
          </cell>
        </row>
      </sheetData>
      <sheetData sheetId="3"/>
      <sheetData sheetId="4"/>
      <sheetData sheetId="5"/>
      <sheetData sheetId="6"/>
      <sheetData sheetId="7"/>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cenarios"/>
      <sheetName val="Batteries Scenarios (2)"/>
      <sheetName val="Macro Bateries Drivers"/>
      <sheetName val="Balance Sheet"/>
      <sheetName val="Income Statement EUR'000"/>
      <sheetName val="Cash Flow"/>
      <sheetName val="Loan Portfolio"/>
      <sheetName val="CrudeActuals"/>
    </sheetNames>
    <sheetDataSet>
      <sheetData sheetId="0"/>
      <sheetData sheetId="1"/>
      <sheetData sheetId="2">
        <row r="10">
          <cell r="O10">
            <v>0</v>
          </cell>
        </row>
        <row r="17">
          <cell r="O17">
            <v>0.04</v>
          </cell>
        </row>
        <row r="25">
          <cell r="O25">
            <v>0.04</v>
          </cell>
        </row>
      </sheetData>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cenarios"/>
      <sheetName val="Batteries Scenarios (2)"/>
      <sheetName val="Macro Bateries Drivers"/>
      <sheetName val="Balance Sheet"/>
      <sheetName val="Income Statement EUR'000"/>
      <sheetName val="Cash Flow"/>
      <sheetName val="Loan Portfolio"/>
      <sheetName val="CrudeActuals"/>
    </sheetNames>
    <sheetDataSet>
      <sheetData sheetId="0"/>
      <sheetData sheetId="1"/>
      <sheetData sheetId="2">
        <row r="10">
          <cell r="O10">
            <v>0</v>
          </cell>
        </row>
        <row r="17">
          <cell r="O17">
            <v>0.04</v>
          </cell>
        </row>
        <row r="25">
          <cell r="O25">
            <v>0.04</v>
          </cell>
        </row>
      </sheetData>
      <sheetData sheetId="3"/>
      <sheetData sheetId="4"/>
      <sheetData sheetId="5"/>
      <sheetData sheetId="6"/>
      <sheetData sheetId="7"/>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cenarios"/>
      <sheetName val="Batteries Scenarios (2)"/>
      <sheetName val="Macro Bateries Drivers"/>
      <sheetName val="Balance Sheet"/>
      <sheetName val="Income Statement EUR'000"/>
      <sheetName val="Cash Flow"/>
      <sheetName val="Loan Portfolio"/>
      <sheetName val="CrudeActuals"/>
    </sheetNames>
    <sheetDataSet>
      <sheetData sheetId="0"/>
      <sheetData sheetId="1"/>
      <sheetData sheetId="2">
        <row r="10">
          <cell r="O10">
            <v>0</v>
          </cell>
        </row>
        <row r="17">
          <cell r="O17">
            <v>0.04</v>
          </cell>
        </row>
        <row r="25">
          <cell r="O25">
            <v>0.04</v>
          </cell>
        </row>
      </sheetData>
      <sheetData sheetId="3"/>
      <sheetData sheetId="4"/>
      <sheetData sheetId="5"/>
      <sheetData sheetId="6"/>
      <sheetData sheetId="7"/>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mary"/>
      <sheetName val="Summary of Loans"/>
      <sheetName val="Covenants"/>
      <sheetName val="ОПР"/>
      <sheetName val="Баланс"/>
      <sheetName val="Acc 152"/>
      <sheetName val="EFG 1{100-532}"/>
      <sheetName val="BulB{1099}"/>
      <sheetName val="RFB 28.11.2013"/>
      <sheetName val="RFB 25.2.2014"/>
      <sheetName val="Hipo 7.10.2014"/>
      <sheetName val="DSK {1675)"/>
      <sheetName val="DSK {1674}"/>
      <sheetName val="SG"/>
      <sheetName val="Raiffeisen Bank (08)"/>
      <sheetName val="EFG 2{100-972}"/>
      <sheetName val="EFG 3 {339)"/>
      <sheetName val="Pireos{095}"/>
      <sheetName val="EURIBOR"/>
      <sheetName val="Tickmarks"/>
    </sheetNames>
    <sheetDataSet>
      <sheetData sheetId="0">
        <row r="25">
          <cell r="M25">
            <v>-2112379</v>
          </cell>
        </row>
        <row r="43">
          <cell r="M43">
            <v>-25495683.036717609</v>
          </cell>
          <cell r="N43">
            <v>-8916831.2532823905</v>
          </cell>
        </row>
        <row r="45">
          <cell r="M45">
            <v>-25217892</v>
          </cell>
        </row>
      </sheetData>
      <sheetData sheetId="1"/>
      <sheetData sheetId="2"/>
      <sheetData sheetId="3"/>
      <sheetData sheetId="4"/>
      <sheetData sheetId="5"/>
      <sheetData sheetId="6"/>
      <sheetData sheetId="7">
        <row r="12">
          <cell r="C12">
            <v>0</v>
          </cell>
        </row>
      </sheetData>
      <sheetData sheetId="8"/>
      <sheetData sheetId="9"/>
      <sheetData sheetId="10"/>
      <sheetData sheetId="11"/>
      <sheetData sheetId="12"/>
      <sheetData sheetId="13"/>
      <sheetData sheetId="14"/>
      <sheetData sheetId="15"/>
      <sheetData sheetId="16"/>
      <sheetData sheetId="17"/>
      <sheetData sheetId="18">
        <row r="6">
          <cell r="L6">
            <v>0.28722302158273411</v>
          </cell>
        </row>
      </sheetData>
      <sheetData sheetId="19">
        <row r="7">
          <cell r="A7" t="str">
            <v>{c}</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mary"/>
      <sheetName val="TB Adjustments"/>
      <sheetName val="Covenants"/>
      <sheetName val="P&amp;L"/>
      <sheetName val="Balance"/>
      <sheetName val="151_hron.09.2016"/>
      <sheetName val="152_hron.09.2016"/>
      <sheetName val="EFG 1{100-532}"/>
      <sheetName val="RFB 28.11.2013"/>
      <sheetName val="RFB 25.2.2014"/>
      <sheetName val="RFB 09.11.2015"/>
      <sheetName val="Hypo 7.10.2014"/>
      <sheetName val="Hypo 20.07.2016 "/>
      <sheetName val="SGEB"/>
      <sheetName val="DSK {1674}"/>
      <sheetName val="DSK {1675)"/>
      <sheetName val="BACB 20.10.2016"/>
      <sheetName val="EFG 2{100-972}"/>
      <sheetName val="EFG 3 {339)"/>
      <sheetName val="15_hron 12.2016"/>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5">
          <cell r="J5">
            <v>621051.13</v>
          </cell>
          <cell r="K5">
            <v>0</v>
          </cell>
        </row>
        <row r="11">
          <cell r="C11">
            <v>621051.13</v>
          </cell>
        </row>
      </sheetData>
      <sheetData sheetId="8">
        <row r="14">
          <cell r="C14">
            <v>2805989.75</v>
          </cell>
        </row>
      </sheetData>
      <sheetData sheetId="9" refreshError="1"/>
      <sheetData sheetId="10" refreshError="1"/>
      <sheetData sheetId="11">
        <row r="9">
          <cell r="C9">
            <v>19558300</v>
          </cell>
        </row>
      </sheetData>
      <sheetData sheetId="12" refreshError="1"/>
      <sheetData sheetId="13" refreshError="1"/>
      <sheetData sheetId="14" refreshError="1"/>
      <sheetData sheetId="15" refreshError="1"/>
      <sheetData sheetId="16" refreshError="1"/>
      <sheetData sheetId="17">
        <row r="13">
          <cell r="C13">
            <v>1946503.19</v>
          </cell>
        </row>
      </sheetData>
      <sheetData sheetId="18" refreshError="1"/>
      <sheetData sheetId="19"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BE Summary"/>
      <sheetName val="Summary"/>
      <sheetName val="Conso FS"/>
      <sheetName val="Covenants"/>
      <sheetName val="Sheet2"/>
      <sheetName val="CF 2017"/>
      <sheetName val="Balance 2017"/>
      <sheetName val="P&amp;L 2017"/>
      <sheetName val="151_hron.09.2016"/>
      <sheetName val="152_hron.09.2016"/>
      <sheetName val="CF"/>
      <sheetName val="Balance"/>
      <sheetName val="P&amp;L"/>
      <sheetName val="Piraeus"/>
      <sheetName val="BACB 20.10.2016"/>
      <sheetName val="Hypo 7.10.2014"/>
      <sheetName val="Hypo 20.07.2016 "/>
      <sheetName val="DSK {1674}"/>
      <sheetName val="DSK {1675)"/>
      <sheetName val="SGEB 1"/>
      <sheetName val="SGEB 2"/>
      <sheetName val="RFB 28.11.2013"/>
      <sheetName val="RFB 25.2.2014"/>
      <sheetName val="RFB 09.11.2015"/>
      <sheetName val="EFG 1{100-532}"/>
      <sheetName val="EFG 2{100-972}"/>
      <sheetName val="EFG 3 {339)"/>
      <sheetName val="15_hron 12.2016"/>
    </sheetNames>
    <sheetDataSet>
      <sheetData sheetId="0" refreshError="1"/>
      <sheetData sheetId="1" refreshError="1"/>
      <sheetData sheetId="2">
        <row r="15">
          <cell r="H15">
            <v>-14512</v>
          </cell>
        </row>
      </sheetData>
      <sheetData sheetId="3"/>
      <sheetData sheetId="4" refreshError="1"/>
      <sheetData sheetId="5" refreshError="1"/>
      <sheetData sheetId="6">
        <row r="22">
          <cell r="C22">
            <v>161638</v>
          </cell>
        </row>
      </sheetData>
      <sheetData sheetId="7">
        <row r="10">
          <cell r="C10">
            <v>350973</v>
          </cell>
        </row>
      </sheetData>
      <sheetData sheetId="8" refreshError="1"/>
      <sheetData sheetId="9" refreshError="1"/>
      <sheetData sheetId="10" refreshError="1"/>
      <sheetData sheetId="11" refreshError="1"/>
      <sheetData sheetId="12" refreshError="1"/>
      <sheetData sheetId="13"/>
      <sheetData sheetId="14" refreshError="1"/>
      <sheetData sheetId="15">
        <row r="9">
          <cell r="C9">
            <v>19558300</v>
          </cell>
        </row>
      </sheetData>
      <sheetData sheetId="16"/>
      <sheetData sheetId="17"/>
      <sheetData sheetId="18"/>
      <sheetData sheetId="19" refreshError="1"/>
      <sheetData sheetId="20"/>
      <sheetData sheetId="21">
        <row r="4">
          <cell r="C4" t="str">
            <v>Raifaizenbank 1</v>
          </cell>
        </row>
        <row r="5">
          <cell r="K5">
            <v>1341995.0956778782</v>
          </cell>
        </row>
      </sheetData>
      <sheetData sheetId="22">
        <row r="4">
          <cell r="C4" t="str">
            <v>Raifaizenbank 2 revolving</v>
          </cell>
        </row>
      </sheetData>
      <sheetData sheetId="23"/>
      <sheetData sheetId="24">
        <row r="4">
          <cell r="C4" t="str">
            <v>Euroban EFG Bulgaria AD</v>
          </cell>
        </row>
      </sheetData>
      <sheetData sheetId="25">
        <row r="5">
          <cell r="J5">
            <v>1869030.5</v>
          </cell>
        </row>
      </sheetData>
      <sheetData sheetId="26"/>
      <sheetData sheetId="2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mary"/>
      <sheetName val="Test acc 2681"/>
      <sheetName val="Test acc 2682"/>
      <sheetName val="Test acc 2683"/>
      <sheetName val="Test acc 2691"/>
      <sheetName val="Accrued interst"/>
      <sheetName val="Recycling interest"/>
      <sheetName val="PBE 721"/>
      <sheetName val="Tickmarks"/>
      <sheetName val="Sheet2"/>
    </sheetNames>
    <sheetDataSet>
      <sheetData sheetId="0"/>
      <sheetData sheetId="1"/>
      <sheetData sheetId="2"/>
      <sheetData sheetId="3"/>
      <sheetData sheetId="4"/>
      <sheetData sheetId="5">
        <row r="17">
          <cell r="G17">
            <v>194566.07</v>
          </cell>
        </row>
      </sheetData>
      <sheetData sheetId="6"/>
      <sheetData sheetId="7"/>
      <sheetData sheetId="8"/>
      <sheetData sheetId="9"/>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le"/>
      <sheetName val="Sampling"/>
      <sheetName val="Document control"/>
      <sheetName val="0. Overview"/>
      <sheetName val="0 Overview"/>
      <sheetName val="1. Schedules"/>
      <sheetName val="2. Analysis"/>
      <sheetName val="3. Gross-Net"/>
      <sheetName val="4. Detail Testing"/>
      <sheetName val="5 Subst Analytical"/>
      <sheetName val="SUBSTANTIVE ANALYTIC - PAYROLL"/>
      <sheetName val="6. MUS sampling"/>
      <sheetName val="X. IP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14">
          <cell r="E14">
            <v>6000</v>
          </cell>
        </row>
      </sheetData>
      <sheetData sheetId="9" refreshError="1"/>
      <sheetData sheetId="10" refreshError="1"/>
      <sheetData sheetId="11" refreshError="1"/>
      <sheetData sheetId="12"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 Top"/>
      <sheetName val="Old"/>
      <sheetName val="2. Work done"/>
      <sheetName val="3. Sample Size &amp; Threshold Calc"/>
      <sheetName val="XREF"/>
      <sheetName val="Tickmarks"/>
    </sheetNames>
    <sheetDataSet>
      <sheetData sheetId="0">
        <row r="1">
          <cell r="A1" t="str">
            <v>Client:</v>
          </cell>
        </row>
      </sheetData>
      <sheetData sheetId="1"/>
      <sheetData sheetId="2"/>
      <sheetData sheetId="3"/>
      <sheetData sheetId="4"/>
      <sheetData sheetId="5"/>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2 Operating Perfor_CONS_YTD"/>
      <sheetName val="I.2 Oper. Perfor_FGOODS Monthly"/>
      <sheetName val="Sheet1"/>
      <sheetName val="Sheet2"/>
      <sheetName val="I.2 Oper. Perfor_RECYCL Monthly"/>
      <sheetName val="I.2 Oper. Perfor_CONS_Monthly"/>
      <sheetName val="I.2 Operating Perfor_FGOODS_YTD"/>
      <sheetName val="I.2 Operating Perfor_RECYCL_YTD"/>
    </sheetNames>
    <sheetDataSet>
      <sheetData sheetId="0">
        <row r="33">
          <cell r="C33" t="str">
            <v>YTD 2021</v>
          </cell>
        </row>
      </sheetData>
      <sheetData sheetId="1" refreshError="1"/>
      <sheetData sheetId="2" refreshError="1"/>
      <sheetData sheetId="3" refreshError="1"/>
      <sheetData sheetId="4" refreshError="1"/>
      <sheetData sheetId="5" refreshError="1"/>
      <sheetData sheetId="6">
        <row r="47">
          <cell r="O47">
            <v>-1646.8844582606998</v>
          </cell>
        </row>
        <row r="51">
          <cell r="R51">
            <v>0</v>
          </cell>
        </row>
      </sheetData>
      <sheetData sheetId="7">
        <row r="34">
          <cell r="S34">
            <v>216</v>
          </cell>
        </row>
        <row r="38">
          <cell r="W38">
            <v>0</v>
          </cell>
        </row>
      </sheetData>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ision_baseline"/>
      <sheetName val="Comparision_baseline (2)"/>
      <sheetName val="Diferentiating-performance"/>
    </sheetNames>
    <sheetDataSet>
      <sheetData sheetId="0"/>
      <sheetData sheetId="1"/>
      <sheetData sheetId="2">
        <row r="6">
          <cell r="K6">
            <v>2847760.9717903603</v>
          </cell>
        </row>
      </sheetData>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O_table"/>
      <sheetName val="1.1.Nour_Group_Value_Creation"/>
      <sheetName val="2.1 Oper. Perf_GROUP_CONS"/>
      <sheetName val="2.2 Oper. Perf_BATTERIES_DIV_A"/>
      <sheetName val="2.2 Oper. Perf_BATTERIES_DIV _B"/>
      <sheetName val="2.3 Oper. Per._RECYCLING_A"/>
      <sheetName val="2.3 Oper. Per._RECYCLING_B"/>
      <sheetName val="2.4 Oper. Performance by SBU"/>
      <sheetName val="3.2 VARIANCE BP"/>
      <sheetName val="3.3 VARIANCE YTD"/>
      <sheetName val="4,1 Perf.stratif (REV) by LoB"/>
      <sheetName val="4.1 Perf.stratif. (NC) by LoB"/>
      <sheetName val="4.2 Domestic market stratificat"/>
      <sheetName val="4.3 Domestic product stratif."/>
      <sheetName val="4.4 Domestic-category-manag."/>
      <sheetName val="4.3 Export market stratificat."/>
      <sheetName val="5.1 Corp. liquidity - WC Bridge"/>
      <sheetName val="5.2 Corp.liquidity-WC &amp; Trapped"/>
      <sheetName val="5.3 Corp. liquidity - CCC"/>
      <sheetName val="5.4 AR Aging"/>
      <sheetName val="5.5 AP Aging"/>
      <sheetName val="5,6 Inventory stratification"/>
      <sheetName val="6.1 Fin_strenght-Net Profit br."/>
      <sheetName val="6.2 Financial Strenght - 3D"/>
      <sheetName val="7.1 BATTERIES CAPEX"/>
      <sheetName val="7.2 RECYCLING CAPEX"/>
      <sheetName val="7.3 NOUR BUSINESS Projects"/>
      <sheetName val="8.1 Group Value throughoutput"/>
      <sheetName val="8,2 Value throughoutput_RECYC"/>
      <sheetName val="8,3  Value throughoutput_Batter"/>
    </sheetNames>
    <sheetDataSet>
      <sheetData sheetId="0">
        <row r="20">
          <cell r="B20" t="str">
            <v>Domestic market - performance stratification
(Regions, KA and Recovery Rate)</v>
          </cell>
        </row>
        <row r="21">
          <cell r="B21" t="str">
            <v>Domestic market - product performance</v>
          </cell>
        </row>
        <row r="25">
          <cell r="B25" t="str">
            <v>Corporate liquidity| Working capital Bridge and structure per SBU</v>
          </cell>
        </row>
        <row r="30">
          <cell r="B30" t="str">
            <v>Inventory Stratification</v>
          </cell>
        </row>
        <row r="32">
          <cell r="B32" t="str">
            <v>NOUR Group Consolidated - Net Profit Bridge</v>
          </cell>
        </row>
        <row r="33">
          <cell r="B33" t="str">
            <v>NOUR Group - Financial strenght</v>
          </cell>
        </row>
      </sheetData>
      <sheetData sheetId="1"/>
      <sheetData sheetId="2"/>
      <sheetData sheetId="3"/>
      <sheetData sheetId="4"/>
      <sheetData sheetId="5"/>
      <sheetData sheetId="6"/>
      <sheetData sheetId="7"/>
      <sheetData sheetId="8"/>
      <sheetData sheetId="9"/>
      <sheetData sheetId="10"/>
      <sheetData sheetId="11"/>
      <sheetData sheetId="12">
        <row r="43">
          <cell r="C43" t="str">
            <v>Volume (Pcs)</v>
          </cell>
        </row>
      </sheetData>
      <sheetData sheetId="13">
        <row r="37">
          <cell r="C37" t="str">
            <v>Volume (Pcs)</v>
          </cell>
        </row>
      </sheetData>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CD impact réserves et rat "/>
      <sheetName val="partage CP 2022"/>
      <sheetName val="TABLEAU DE MOUVEMENT CP"/>
      <sheetName val="Titre de participation"/>
      <sheetName val="Feuil2"/>
      <sheetName val="Balance 2022"/>
      <sheetName val="TCD Balance 2022"/>
      <sheetName val="Feuil1"/>
      <sheetName val="Journal consolidation 2022"/>
      <sheetName val="Balance globale conso 31-03-22"/>
      <sheetName val="Balance globale conso 30-06 "/>
      <sheetName val="Bal globale aprés conso 09-21"/>
      <sheetName val="Balance globale conso 30-09-22"/>
      <sheetName val="Bilan Conso TND-EUR"/>
      <sheetName val="Notes"/>
      <sheetName val="ER CONSO"/>
      <sheetName val="Etat résultat  "/>
      <sheetName val="Etat de résultat TND-EUR "/>
      <sheetName val="Balance Sheet"/>
      <sheetName val="Income Statement"/>
      <sheetName val="Cash Flow"/>
      <sheetName val="BS"/>
      <sheetName val="Non-current Assets"/>
      <sheetName val="Receivables Payables Provisions"/>
      <sheetName val="Actif EUR "/>
      <sheetName val="Passif EUR "/>
      <sheetName val="Etat-flux"/>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row r="7">
          <cell r="J7">
            <v>33976714.718000002</v>
          </cell>
          <cell r="K7">
            <v>30263697.030500002</v>
          </cell>
        </row>
        <row r="8">
          <cell r="J8">
            <v>172459.342</v>
          </cell>
          <cell r="K8">
            <v>126656.344</v>
          </cell>
        </row>
        <row r="16">
          <cell r="J16">
            <v>-4140473.375</v>
          </cell>
          <cell r="K16">
            <v>-2981896.7889999999</v>
          </cell>
        </row>
        <row r="17">
          <cell r="J17">
            <v>-1885213.8977000001</v>
          </cell>
          <cell r="K17">
            <v>-1772592.1318444444</v>
          </cell>
        </row>
        <row r="18">
          <cell r="J18">
            <v>-120074.78200000001</v>
          </cell>
          <cell r="K18">
            <v>-700000</v>
          </cell>
        </row>
        <row r="25">
          <cell r="J25">
            <v>-1364428.1310000001</v>
          </cell>
          <cell r="K25">
            <v>-1039503.356</v>
          </cell>
        </row>
        <row r="27">
          <cell r="J27">
            <v>11929.391</v>
          </cell>
          <cell r="K27">
            <v>525.72799999999995</v>
          </cell>
        </row>
        <row r="28">
          <cell r="J28">
            <v>-19027.425000000003</v>
          </cell>
          <cell r="K28">
            <v>-3081.6170000000002</v>
          </cell>
        </row>
        <row r="34">
          <cell r="J34">
            <v>-332664</v>
          </cell>
          <cell r="K34">
            <v>0</v>
          </cell>
        </row>
        <row r="44">
          <cell r="J44">
            <v>-192836.58462402981</v>
          </cell>
          <cell r="K44">
            <v>2670.9462490822771</v>
          </cell>
        </row>
        <row r="46">
          <cell r="J46">
            <v>2756513.3574582711</v>
          </cell>
          <cell r="K46">
            <v>3339471.7597398027</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euil1"/>
      <sheetName val="Feuil2"/>
      <sheetName val="TCD impact réserves et rat "/>
      <sheetName val="partage CP 2021"/>
      <sheetName val="Journal consolidation 2021"/>
      <sheetName val="Balance globale aprés conso 21"/>
      <sheetName val="ER CONSO"/>
      <sheetName val="Titre de participation"/>
      <sheetName val="TCD Balance 2021"/>
      <sheetName val="Balance 2021"/>
      <sheetName val="Feuil3"/>
      <sheetName val="BILAN CONSO"/>
      <sheetName val="Actif  "/>
      <sheetName val="Passif"/>
      <sheetName val="Notes"/>
      <sheetName val="Etat Flux"/>
      <sheetName val="Etat résul  "/>
    </sheetNames>
    <sheetDataSet>
      <sheetData sheetId="0"/>
      <sheetData sheetId="1"/>
      <sheetData sheetId="2"/>
      <sheetData sheetId="3"/>
      <sheetData sheetId="4"/>
      <sheetData sheetId="5">
        <row r="1">
          <cell r="D1">
            <v>3.8692352245561779E-4</v>
          </cell>
          <cell r="E1">
            <v>-2.8719659896786487E-10</v>
          </cell>
          <cell r="F1">
            <v>1.4602846931666136E-8</v>
          </cell>
          <cell r="G1">
            <v>6.3300831243395805E-10</v>
          </cell>
          <cell r="H1">
            <v>3.8695026887580752E-4</v>
          </cell>
          <cell r="J1">
            <v>3.8695026887580752E-4</v>
          </cell>
          <cell r="K1">
            <v>58505003.685992539</v>
          </cell>
          <cell r="L1">
            <v>73873324.360579699</v>
          </cell>
          <cell r="M1">
            <v>-15368320.674200216</v>
          </cell>
        </row>
        <row r="2">
          <cell r="D2">
            <v>-3382180.8782184897</v>
          </cell>
          <cell r="E2">
            <v>125937.701</v>
          </cell>
          <cell r="F2">
            <v>-1191483.5209999834</v>
          </cell>
          <cell r="G2">
            <v>-20059.779999999977</v>
          </cell>
          <cell r="H2">
            <v>-4467786.4782185154</v>
          </cell>
          <cell r="J2">
            <v>-4467786.4782185154</v>
          </cell>
          <cell r="K2">
            <v>29749196.503663283</v>
          </cell>
          <cell r="L2">
            <v>29992177.395915553</v>
          </cell>
          <cell r="M2">
            <v>-4710767.3704707623</v>
          </cell>
        </row>
        <row r="3">
          <cell r="C3">
            <v>2</v>
          </cell>
          <cell r="D3">
            <v>3</v>
          </cell>
          <cell r="E3">
            <v>4</v>
          </cell>
          <cell r="F3">
            <v>5</v>
          </cell>
          <cell r="G3">
            <v>5</v>
          </cell>
        </row>
        <row r="4">
          <cell r="B4" t="str">
            <v xml:space="preserve">n ° compte </v>
          </cell>
          <cell r="C4" t="str">
            <v>Libéllé</v>
          </cell>
          <cell r="D4" t="str">
            <v>SNA</v>
          </cell>
          <cell r="E4" t="str">
            <v>NBI</v>
          </cell>
          <cell r="F4" t="str">
            <v>SND</v>
          </cell>
          <cell r="G4" t="str">
            <v>TIP</v>
          </cell>
          <cell r="H4" t="str">
            <v xml:space="preserve">TOTAL </v>
          </cell>
          <cell r="I4" t="str">
            <v>Affectation Groupe</v>
          </cell>
          <cell r="J4" t="str">
            <v>SOLDE AU 31/12/2021 Avant CONSOLIDATION</v>
          </cell>
          <cell r="K4" t="str">
            <v>ELEMINATIONS DEBIT</v>
          </cell>
          <cell r="L4" t="str">
            <v>ELEMINATIONS CREDIT</v>
          </cell>
          <cell r="M4" t="str">
            <v>SOLDE AU 31/12/2021 APRES CONSOLIDATION</v>
          </cell>
        </row>
        <row r="5">
          <cell r="B5">
            <v>101000000</v>
          </cell>
          <cell r="C5" t="str">
            <v>CAPITAL SOCIAL</v>
          </cell>
          <cell r="D5">
            <v>-12000000</v>
          </cell>
          <cell r="E5">
            <v>-650000</v>
          </cell>
          <cell r="F5">
            <v>-200000</v>
          </cell>
          <cell r="G5">
            <v>-600000</v>
          </cell>
          <cell r="H5">
            <v>-13450000</v>
          </cell>
          <cell r="I5" t="str">
            <v>Capital social</v>
          </cell>
          <cell r="J5">
            <v>-13450000</v>
          </cell>
          <cell r="K5">
            <v>1450000</v>
          </cell>
          <cell r="L5">
            <v>0</v>
          </cell>
          <cell r="M5">
            <v>-12000000</v>
          </cell>
        </row>
        <row r="6">
          <cell r="B6">
            <v>103000000</v>
          </cell>
          <cell r="C6" t="str">
            <v>RESULTAT DE L'EXERCICE</v>
          </cell>
          <cell r="H6">
            <v>0</v>
          </cell>
          <cell r="J6">
            <v>0</v>
          </cell>
          <cell r="K6">
            <v>0</v>
          </cell>
          <cell r="L6">
            <v>0</v>
          </cell>
          <cell r="M6">
            <v>0</v>
          </cell>
        </row>
        <row r="7">
          <cell r="B7">
            <v>111000000</v>
          </cell>
          <cell r="C7" t="str">
            <v xml:space="preserve">Réserves légales </v>
          </cell>
          <cell r="D7">
            <v>0</v>
          </cell>
          <cell r="E7">
            <v>0</v>
          </cell>
          <cell r="F7">
            <v>-20000</v>
          </cell>
          <cell r="G7">
            <v>0</v>
          </cell>
          <cell r="H7">
            <v>-20000</v>
          </cell>
          <cell r="I7" t="str">
            <v xml:space="preserve">Réserves légales </v>
          </cell>
          <cell r="J7">
            <v>-20000</v>
          </cell>
          <cell r="K7">
            <v>20000</v>
          </cell>
          <cell r="L7">
            <v>0</v>
          </cell>
          <cell r="M7">
            <v>0</v>
          </cell>
        </row>
        <row r="8">
          <cell r="B8">
            <v>111010000</v>
          </cell>
          <cell r="C8" t="str">
            <v>RESERVES LEGALES</v>
          </cell>
          <cell r="D8">
            <v>-1200000</v>
          </cell>
          <cell r="E8">
            <v>0</v>
          </cell>
          <cell r="F8">
            <v>0</v>
          </cell>
          <cell r="G8">
            <v>0</v>
          </cell>
          <cell r="H8">
            <v>-1200000</v>
          </cell>
          <cell r="I8" t="str">
            <v xml:space="preserve">Réserves légales </v>
          </cell>
          <cell r="J8">
            <v>-1200000</v>
          </cell>
          <cell r="K8">
            <v>0</v>
          </cell>
          <cell r="L8">
            <v>0</v>
          </cell>
          <cell r="M8">
            <v>-1200000</v>
          </cell>
        </row>
        <row r="9">
          <cell r="B9">
            <v>113000000</v>
          </cell>
          <cell r="C9" t="str">
            <v>Réserves</v>
          </cell>
          <cell r="H9">
            <v>0</v>
          </cell>
          <cell r="I9" t="str">
            <v>Réserves consolidées</v>
          </cell>
          <cell r="J9">
            <v>0</v>
          </cell>
          <cell r="K9">
            <v>1892018.5937969028</v>
          </cell>
          <cell r="L9">
            <v>2091197.1307805367</v>
          </cell>
          <cell r="M9">
            <v>-199178.53698363388</v>
          </cell>
        </row>
        <row r="10">
          <cell r="B10">
            <v>119999990</v>
          </cell>
          <cell r="C10" t="str">
            <v>Réserves consolidées</v>
          </cell>
          <cell r="H10">
            <v>0</v>
          </cell>
          <cell r="I10" t="str">
            <v>Réserves consolidées</v>
          </cell>
          <cell r="J10">
            <v>0</v>
          </cell>
          <cell r="K10">
            <v>0</v>
          </cell>
          <cell r="L10">
            <v>14192352.628693076</v>
          </cell>
          <cell r="M10">
            <v>-14192352.628693076</v>
          </cell>
        </row>
        <row r="11">
          <cell r="B11">
            <v>121000000</v>
          </cell>
          <cell r="C11" t="str">
            <v>RESULTAT REPORTES</v>
          </cell>
          <cell r="D11">
            <v>-13969142.13760351</v>
          </cell>
          <cell r="E11">
            <v>-120890.85399999999</v>
          </cell>
          <cell r="F11">
            <v>-1870957.8929999999</v>
          </cell>
          <cell r="G11">
            <v>-873441.24400000006</v>
          </cell>
          <cell r="H11">
            <v>-16834432.128603511</v>
          </cell>
          <cell r="I11" t="str">
            <v>Résultats reportés</v>
          </cell>
          <cell r="J11">
            <v>-16834432.128603511</v>
          </cell>
          <cell r="K11">
            <v>2865289.9909999999</v>
          </cell>
          <cell r="L11">
            <v>0</v>
          </cell>
          <cell r="M11">
            <v>-13969142.13760351</v>
          </cell>
        </row>
        <row r="12">
          <cell r="B12">
            <v>122000000</v>
          </cell>
          <cell r="C12" t="str">
            <v>ammortisssemnts differes</v>
          </cell>
          <cell r="H12">
            <v>0</v>
          </cell>
          <cell r="I12" t="str">
            <v xml:space="preserve">Autres capitaux propres </v>
          </cell>
          <cell r="J12">
            <v>0</v>
          </cell>
          <cell r="K12">
            <v>0</v>
          </cell>
          <cell r="L12">
            <v>0</v>
          </cell>
          <cell r="M12">
            <v>0</v>
          </cell>
        </row>
        <row r="13">
          <cell r="B13">
            <v>128000000</v>
          </cell>
          <cell r="C13" t="str">
            <v>MODI.COM.EFF.RLT.REP</v>
          </cell>
          <cell r="D13">
            <v>3022190.1950000003</v>
          </cell>
          <cell r="E13">
            <v>0</v>
          </cell>
          <cell r="F13">
            <v>941513.83900000004</v>
          </cell>
          <cell r="G13">
            <v>0</v>
          </cell>
          <cell r="H13">
            <v>3963704.0340000005</v>
          </cell>
          <cell r="I13" t="str">
            <v xml:space="preserve">Modifications comptables </v>
          </cell>
          <cell r="J13">
            <v>3963704.0340000005</v>
          </cell>
          <cell r="K13">
            <v>0</v>
          </cell>
          <cell r="L13">
            <v>3963704.0340000005</v>
          </cell>
          <cell r="M13">
            <v>0</v>
          </cell>
        </row>
        <row r="14">
          <cell r="B14">
            <v>130000000</v>
          </cell>
          <cell r="C14" t="str">
            <v>RESULTAT DE L'EXC</v>
          </cell>
          <cell r="H14">
            <v>0</v>
          </cell>
          <cell r="I14" t="str">
            <v>Résultats reportés</v>
          </cell>
          <cell r="J14">
            <v>0</v>
          </cell>
          <cell r="K14">
            <v>0</v>
          </cell>
          <cell r="L14">
            <v>0</v>
          </cell>
          <cell r="M14">
            <v>0</v>
          </cell>
        </row>
        <row r="15">
          <cell r="B15">
            <v>131000000</v>
          </cell>
          <cell r="C15" t="str">
            <v>RESULTAT DE L'EXERCICE</v>
          </cell>
          <cell r="H15">
            <v>0</v>
          </cell>
          <cell r="J15">
            <v>0</v>
          </cell>
          <cell r="K15">
            <v>0</v>
          </cell>
          <cell r="L15">
            <v>0</v>
          </cell>
          <cell r="M15">
            <v>0</v>
          </cell>
        </row>
        <row r="16">
          <cell r="B16">
            <v>139990000</v>
          </cell>
          <cell r="C16" t="str">
            <v>Résultat de l'exercice</v>
          </cell>
          <cell r="H16">
            <v>0</v>
          </cell>
          <cell r="J16">
            <v>0</v>
          </cell>
          <cell r="K16">
            <v>4835845.4048040733</v>
          </cell>
          <cell r="L16">
            <v>125078.03433333333</v>
          </cell>
          <cell r="M16">
            <v>4710767.3704707399</v>
          </cell>
        </row>
        <row r="17">
          <cell r="B17">
            <v>139999990</v>
          </cell>
          <cell r="C17" t="str">
            <v>Résultat consolidé</v>
          </cell>
          <cell r="H17">
            <v>0</v>
          </cell>
          <cell r="I17" t="str">
            <v>Résultat consolidé</v>
          </cell>
          <cell r="J17">
            <v>0</v>
          </cell>
          <cell r="K17">
            <v>92370.128355166671</v>
          </cell>
          <cell r="L17">
            <v>4831041.439228313</v>
          </cell>
          <cell r="M17">
            <v>-4738671.3108731462</v>
          </cell>
        </row>
        <row r="18">
          <cell r="B18">
            <v>140000000</v>
          </cell>
          <cell r="C18" t="str">
            <v>AUTRES ACP.PROPRES</v>
          </cell>
          <cell r="H18">
            <v>0</v>
          </cell>
          <cell r="J18">
            <v>0</v>
          </cell>
          <cell r="K18">
            <v>0</v>
          </cell>
          <cell r="L18">
            <v>0</v>
          </cell>
          <cell r="M18">
            <v>0</v>
          </cell>
        </row>
        <row r="19">
          <cell r="B19">
            <v>144100000</v>
          </cell>
          <cell r="C19" t="str">
            <v xml:space="preserve">réserves spécialse de réinvestissement </v>
          </cell>
          <cell r="D19">
            <v>0</v>
          </cell>
          <cell r="E19">
            <v>0</v>
          </cell>
          <cell r="F19">
            <v>-150000</v>
          </cell>
          <cell r="G19">
            <v>0</v>
          </cell>
          <cell r="H19">
            <v>-150000</v>
          </cell>
          <cell r="I19" t="str">
            <v xml:space="preserve">Autres capitaux propres </v>
          </cell>
          <cell r="J19">
            <v>-150000</v>
          </cell>
          <cell r="K19">
            <v>150000</v>
          </cell>
          <cell r="L19">
            <v>0</v>
          </cell>
          <cell r="M19">
            <v>0</v>
          </cell>
        </row>
        <row r="20">
          <cell r="B20">
            <v>145000000</v>
          </cell>
          <cell r="C20" t="str">
            <v>SUBVENTIONS D'INVES.</v>
          </cell>
          <cell r="D20">
            <v>-3479108.84</v>
          </cell>
          <cell r="E20">
            <v>0</v>
          </cell>
          <cell r="F20">
            <v>0</v>
          </cell>
          <cell r="G20">
            <v>0</v>
          </cell>
          <cell r="H20">
            <v>-3479108.84</v>
          </cell>
          <cell r="I20" t="str">
            <v xml:space="preserve">Autres capitaux propres </v>
          </cell>
          <cell r="J20">
            <v>-3479108.84</v>
          </cell>
          <cell r="K20">
            <v>3479108.84</v>
          </cell>
          <cell r="L20">
            <v>0</v>
          </cell>
          <cell r="M20">
            <v>0</v>
          </cell>
        </row>
        <row r="21">
          <cell r="B21">
            <v>145080000</v>
          </cell>
          <cell r="C21" t="str">
            <v>AMORT.DES SUBV.D'INV</v>
          </cell>
          <cell r="D21">
            <v>2139068.9169999999</v>
          </cell>
          <cell r="E21">
            <v>0</v>
          </cell>
          <cell r="F21">
            <v>0</v>
          </cell>
          <cell r="G21">
            <v>0</v>
          </cell>
          <cell r="H21">
            <v>2139068.9169999999</v>
          </cell>
          <cell r="I21" t="str">
            <v xml:space="preserve">Autres capitaux propres </v>
          </cell>
          <cell r="J21">
            <v>2139068.9169999999</v>
          </cell>
          <cell r="K21">
            <v>0</v>
          </cell>
          <cell r="L21">
            <v>2139068.9169999999</v>
          </cell>
          <cell r="M21">
            <v>0</v>
          </cell>
        </row>
        <row r="22">
          <cell r="B22">
            <v>149999920</v>
          </cell>
          <cell r="C22" t="str">
            <v>Part des minoritaires dans les réserves</v>
          </cell>
          <cell r="H22">
            <v>0</v>
          </cell>
          <cell r="I22" t="str">
            <v>Part des minoritaires dans les réserves</v>
          </cell>
          <cell r="J22">
            <v>0</v>
          </cell>
          <cell r="K22">
            <v>-69912.950888888925</v>
          </cell>
          <cell r="L22">
            <v>203080.14363749852</v>
          </cell>
          <cell r="M22">
            <v>-272993.09452638746</v>
          </cell>
        </row>
        <row r="23">
          <cell r="B23">
            <v>149999930</v>
          </cell>
          <cell r="C23" t="str">
            <v>Part des minoritaires dans le résultat</v>
          </cell>
          <cell r="H23">
            <v>0</v>
          </cell>
          <cell r="I23" t="str">
            <v>Part des minoritaires dans le résultat</v>
          </cell>
          <cell r="J23">
            <v>0</v>
          </cell>
          <cell r="K23">
            <v>32707.905978166658</v>
          </cell>
          <cell r="L23">
            <v>4803.965575761199</v>
          </cell>
          <cell r="M23">
            <v>27903.94040240546</v>
          </cell>
        </row>
        <row r="24">
          <cell r="B24">
            <v>151000000</v>
          </cell>
          <cell r="C24" t="str">
            <v> Provisions pour risques</v>
          </cell>
          <cell r="D24">
            <v>-22564.955999999995</v>
          </cell>
          <cell r="E24">
            <v>0</v>
          </cell>
          <cell r="F24">
            <v>0</v>
          </cell>
          <cell r="G24">
            <v>0</v>
          </cell>
          <cell r="H24">
            <v>-22564.955999999995</v>
          </cell>
          <cell r="I24" t="str">
            <v xml:space="preserve">Provisions pour risques et charges </v>
          </cell>
          <cell r="J24">
            <v>-22564.955999999995</v>
          </cell>
          <cell r="K24">
            <v>0</v>
          </cell>
          <cell r="L24">
            <v>0</v>
          </cell>
          <cell r="M24">
            <v>-22564.955999999995</v>
          </cell>
        </row>
        <row r="25">
          <cell r="B25">
            <v>151010000</v>
          </cell>
          <cell r="C25" t="str">
            <v>Provisions pour risque</v>
          </cell>
          <cell r="D25">
            <v>0</v>
          </cell>
          <cell r="E25">
            <v>0</v>
          </cell>
          <cell r="F25">
            <v>0</v>
          </cell>
          <cell r="G25">
            <v>0</v>
          </cell>
          <cell r="H25">
            <v>0</v>
          </cell>
          <cell r="I25" t="str">
            <v xml:space="preserve">Provisions pour risques et charges </v>
          </cell>
          <cell r="J25">
            <v>0</v>
          </cell>
          <cell r="K25">
            <v>0</v>
          </cell>
          <cell r="L25">
            <v>0</v>
          </cell>
          <cell r="M25">
            <v>0</v>
          </cell>
        </row>
        <row r="26">
          <cell r="B26">
            <v>151200000</v>
          </cell>
          <cell r="C26" t="str">
            <v>Provisions pour garanties données aux clients</v>
          </cell>
          <cell r="D26">
            <v>0</v>
          </cell>
          <cell r="E26">
            <v>0</v>
          </cell>
          <cell r="F26">
            <v>-793444.85400000005</v>
          </cell>
          <cell r="G26">
            <v>0</v>
          </cell>
          <cell r="H26">
            <v>-793444.85400000005</v>
          </cell>
          <cell r="I26" t="str">
            <v xml:space="preserve">Provisions pour risques et charges </v>
          </cell>
          <cell r="J26">
            <v>-793444.85400000005</v>
          </cell>
          <cell r="K26">
            <v>1667732.3314156369</v>
          </cell>
          <cell r="L26">
            <v>1667732.3314156369</v>
          </cell>
          <cell r="M26">
            <v>-793444.85400000005</v>
          </cell>
        </row>
        <row r="27">
          <cell r="B27">
            <v>162102500</v>
          </cell>
          <cell r="C27" t="str">
            <v>CREDIT STUSID</v>
          </cell>
          <cell r="H27">
            <v>0</v>
          </cell>
          <cell r="J27">
            <v>0</v>
          </cell>
          <cell r="K27">
            <v>0</v>
          </cell>
          <cell r="L27">
            <v>0</v>
          </cell>
          <cell r="M27">
            <v>0</v>
          </cell>
        </row>
        <row r="28">
          <cell r="B28">
            <v>162105000</v>
          </cell>
          <cell r="C28" t="str">
            <v>CREDITS STB</v>
          </cell>
          <cell r="D28">
            <v>-1958333.3310000007</v>
          </cell>
          <cell r="E28">
            <v>0</v>
          </cell>
          <cell r="F28">
            <v>0</v>
          </cell>
          <cell r="G28">
            <v>0</v>
          </cell>
          <cell r="H28">
            <v>-1958333.3310000007</v>
          </cell>
          <cell r="I28" t="str">
            <v>Emprunts</v>
          </cell>
          <cell r="J28">
            <v>-1958333.3310000007</v>
          </cell>
          <cell r="K28">
            <v>0</v>
          </cell>
          <cell r="L28">
            <v>0</v>
          </cell>
          <cell r="M28">
            <v>-1958333.3310000007</v>
          </cell>
        </row>
        <row r="29">
          <cell r="B29">
            <v>162109600</v>
          </cell>
          <cell r="C29" t="str">
            <v>CREDITS B.T.K.D</v>
          </cell>
          <cell r="H29">
            <v>0</v>
          </cell>
          <cell r="J29">
            <v>0</v>
          </cell>
          <cell r="K29">
            <v>0</v>
          </cell>
          <cell r="L29">
            <v>0</v>
          </cell>
          <cell r="M29">
            <v>0</v>
          </cell>
        </row>
        <row r="30">
          <cell r="B30">
            <v>164000000</v>
          </cell>
          <cell r="C30" t="str">
            <v>EMPT.DET.AS.COND.PA.</v>
          </cell>
          <cell r="H30">
            <v>0</v>
          </cell>
          <cell r="I30" t="str">
            <v>Emprunts</v>
          </cell>
          <cell r="J30">
            <v>0</v>
          </cell>
          <cell r="K30">
            <v>0</v>
          </cell>
          <cell r="L30">
            <v>0</v>
          </cell>
          <cell r="M30">
            <v>0</v>
          </cell>
        </row>
        <row r="31">
          <cell r="B31">
            <v>211000000</v>
          </cell>
          <cell r="C31" t="str">
            <v>INVEST.DE RECH.ET DE</v>
          </cell>
          <cell r="H31">
            <v>0</v>
          </cell>
          <cell r="J31">
            <v>0</v>
          </cell>
          <cell r="K31">
            <v>0</v>
          </cell>
          <cell r="L31">
            <v>0</v>
          </cell>
          <cell r="M31">
            <v>0</v>
          </cell>
        </row>
        <row r="32">
          <cell r="B32">
            <v>213000000</v>
          </cell>
          <cell r="C32" t="str">
            <v>LOGICIELS</v>
          </cell>
          <cell r="D32">
            <v>65409.227000000006</v>
          </cell>
          <cell r="E32">
            <v>0</v>
          </cell>
          <cell r="F32">
            <v>0</v>
          </cell>
          <cell r="G32">
            <v>0</v>
          </cell>
          <cell r="H32">
            <v>65409.227000000006</v>
          </cell>
          <cell r="I32" t="str">
            <v>Immobilisations incorporelles</v>
          </cell>
          <cell r="J32">
            <v>65409.227000000006</v>
          </cell>
          <cell r="K32">
            <v>0</v>
          </cell>
          <cell r="L32">
            <v>0</v>
          </cell>
          <cell r="M32">
            <v>65409.227000000006</v>
          </cell>
        </row>
        <row r="33">
          <cell r="B33">
            <v>218999990</v>
          </cell>
          <cell r="C33" t="str">
            <v>Goodwill</v>
          </cell>
          <cell r="H33">
            <v>0</v>
          </cell>
          <cell r="I33" t="str">
            <v xml:space="preserve">Ecart d'acquisition </v>
          </cell>
          <cell r="J33">
            <v>0</v>
          </cell>
          <cell r="K33">
            <v>0</v>
          </cell>
          <cell r="L33">
            <v>0</v>
          </cell>
          <cell r="M33">
            <v>0</v>
          </cell>
        </row>
        <row r="34">
          <cell r="B34">
            <v>220000000</v>
          </cell>
          <cell r="C34" t="str">
            <v>IMMOBIL.CORPORELLES</v>
          </cell>
          <cell r="H34">
            <v>0</v>
          </cell>
          <cell r="J34">
            <v>0</v>
          </cell>
          <cell r="K34">
            <v>0</v>
          </cell>
          <cell r="L34">
            <v>0</v>
          </cell>
          <cell r="M34">
            <v>0</v>
          </cell>
        </row>
        <row r="35">
          <cell r="B35">
            <v>221000000</v>
          </cell>
          <cell r="C35" t="str">
            <v>TERRAINS</v>
          </cell>
          <cell r="D35">
            <v>1275724</v>
          </cell>
          <cell r="E35">
            <v>0</v>
          </cell>
          <cell r="F35">
            <v>0</v>
          </cell>
          <cell r="G35">
            <v>64000</v>
          </cell>
          <cell r="H35">
            <v>1339724</v>
          </cell>
          <cell r="I35" t="str">
            <v>Immobilisations corporelles</v>
          </cell>
          <cell r="J35">
            <v>1339724</v>
          </cell>
          <cell r="K35">
            <v>0</v>
          </cell>
          <cell r="L35">
            <v>0</v>
          </cell>
          <cell r="M35">
            <v>1339724</v>
          </cell>
        </row>
        <row r="36">
          <cell r="B36">
            <v>221600000</v>
          </cell>
          <cell r="C36" t="str">
            <v>AGEN.AMENAG.D.TERAI</v>
          </cell>
          <cell r="D36">
            <v>161501.53600000002</v>
          </cell>
          <cell r="E36">
            <v>0</v>
          </cell>
          <cell r="F36">
            <v>0</v>
          </cell>
          <cell r="G36">
            <v>0</v>
          </cell>
          <cell r="H36">
            <v>161501.53600000002</v>
          </cell>
          <cell r="I36" t="str">
            <v>Immobilisations corporelles</v>
          </cell>
          <cell r="J36">
            <v>161501.53600000002</v>
          </cell>
          <cell r="K36">
            <v>0</v>
          </cell>
          <cell r="L36">
            <v>0</v>
          </cell>
          <cell r="M36">
            <v>161501.53600000002</v>
          </cell>
        </row>
        <row r="37">
          <cell r="B37">
            <v>222000000</v>
          </cell>
          <cell r="C37" t="str">
            <v>CONSTURCTIONS</v>
          </cell>
          <cell r="D37">
            <v>9024367.785000002</v>
          </cell>
          <cell r="E37">
            <v>0</v>
          </cell>
          <cell r="F37">
            <v>0</v>
          </cell>
          <cell r="G37">
            <v>0</v>
          </cell>
          <cell r="H37">
            <v>9024367.785000002</v>
          </cell>
          <cell r="I37" t="str">
            <v>Immobilisations corporelles</v>
          </cell>
          <cell r="J37">
            <v>9024367.785000002</v>
          </cell>
          <cell r="K37">
            <v>0</v>
          </cell>
          <cell r="L37">
            <v>0</v>
          </cell>
          <cell r="M37">
            <v>9024367.785000002</v>
          </cell>
        </row>
        <row r="38">
          <cell r="B38">
            <v>222500000</v>
          </cell>
          <cell r="C38" t="str">
            <v>INSTAL.GL.AGE.AM.CON</v>
          </cell>
          <cell r="D38">
            <v>541547.09600000002</v>
          </cell>
          <cell r="E38">
            <v>0</v>
          </cell>
          <cell r="F38">
            <v>0</v>
          </cell>
          <cell r="G38">
            <v>6543.75</v>
          </cell>
          <cell r="H38">
            <v>548090.84600000002</v>
          </cell>
          <cell r="I38" t="str">
            <v>Immobilisations corporelles</v>
          </cell>
          <cell r="J38">
            <v>548090.84600000002</v>
          </cell>
          <cell r="K38">
            <v>0</v>
          </cell>
          <cell r="L38">
            <v>3375</v>
          </cell>
          <cell r="M38">
            <v>544715.84600000002</v>
          </cell>
        </row>
        <row r="39">
          <cell r="B39">
            <v>222510000</v>
          </cell>
          <cell r="C39" t="str">
            <v>AG.AM.CONST./SOL D'ATRUI</v>
          </cell>
          <cell r="D39">
            <v>0</v>
          </cell>
          <cell r="E39">
            <v>0</v>
          </cell>
          <cell r="F39">
            <v>31296.977999999999</v>
          </cell>
          <cell r="G39">
            <v>0</v>
          </cell>
          <cell r="H39">
            <v>31296.977999999999</v>
          </cell>
          <cell r="I39" t="str">
            <v>Immobilisations corporelles</v>
          </cell>
          <cell r="J39">
            <v>31296.977999999999</v>
          </cell>
          <cell r="K39">
            <v>0</v>
          </cell>
          <cell r="L39">
            <v>0</v>
          </cell>
          <cell r="M39">
            <v>31296.977999999999</v>
          </cell>
        </row>
        <row r="40">
          <cell r="B40">
            <v>223000000</v>
          </cell>
          <cell r="C40" t="str">
            <v>INST.TECH.MAT&amp;OUT.IN</v>
          </cell>
          <cell r="D40">
            <v>0</v>
          </cell>
          <cell r="E40">
            <v>0</v>
          </cell>
          <cell r="F40">
            <v>0</v>
          </cell>
          <cell r="G40">
            <v>0</v>
          </cell>
          <cell r="H40">
            <v>0</v>
          </cell>
          <cell r="J40">
            <v>0</v>
          </cell>
          <cell r="K40">
            <v>0</v>
          </cell>
          <cell r="L40">
            <v>0</v>
          </cell>
          <cell r="M40">
            <v>0</v>
          </cell>
        </row>
        <row r="41">
          <cell r="B41">
            <v>223100000</v>
          </cell>
          <cell r="C41" t="str">
            <v>INSTALLATIONS TECHN</v>
          </cell>
          <cell r="D41">
            <v>0</v>
          </cell>
          <cell r="E41">
            <v>0</v>
          </cell>
          <cell r="F41">
            <v>0</v>
          </cell>
          <cell r="G41">
            <v>3842.7249999999999</v>
          </cell>
          <cell r="H41">
            <v>3842.7249999999999</v>
          </cell>
          <cell r="I41" t="str">
            <v>Immobilisations corporelles</v>
          </cell>
          <cell r="J41">
            <v>3842.7249999999999</v>
          </cell>
          <cell r="K41">
            <v>0</v>
          </cell>
          <cell r="L41">
            <v>0</v>
          </cell>
          <cell r="M41">
            <v>3842.7249999999999</v>
          </cell>
        </row>
        <row r="42">
          <cell r="B42">
            <v>223400000</v>
          </cell>
          <cell r="C42" t="str">
            <v>MATERIEL INDUSTRIEL</v>
          </cell>
          <cell r="D42">
            <v>20001899.914411496</v>
          </cell>
          <cell r="E42">
            <v>1191994.1459999999</v>
          </cell>
          <cell r="F42">
            <v>49395.74</v>
          </cell>
          <cell r="G42">
            <v>172000</v>
          </cell>
          <cell r="H42">
            <v>21415289.800411496</v>
          </cell>
          <cell r="I42" t="str">
            <v>Immobilisations corporelles</v>
          </cell>
          <cell r="J42">
            <v>21415289.800411496</v>
          </cell>
          <cell r="K42">
            <v>0</v>
          </cell>
          <cell r="L42">
            <v>634749.16666666674</v>
          </cell>
          <cell r="M42">
            <v>20780540.633744828</v>
          </cell>
        </row>
        <row r="43">
          <cell r="B43">
            <v>223500000</v>
          </cell>
          <cell r="C43" t="str">
            <v>OUTILLAGE INDUSTRIEL</v>
          </cell>
          <cell r="D43">
            <v>540355.8899999999</v>
          </cell>
          <cell r="E43">
            <v>0</v>
          </cell>
          <cell r="F43">
            <v>0</v>
          </cell>
          <cell r="G43">
            <v>0</v>
          </cell>
          <cell r="H43">
            <v>540355.8899999999</v>
          </cell>
          <cell r="I43" t="str">
            <v>Immobilisations corporelles</v>
          </cell>
          <cell r="J43">
            <v>540355.8899999999</v>
          </cell>
          <cell r="K43">
            <v>0</v>
          </cell>
          <cell r="L43">
            <v>0</v>
          </cell>
          <cell r="M43">
            <v>540355.8899999999</v>
          </cell>
        </row>
        <row r="44">
          <cell r="B44">
            <v>223700000</v>
          </cell>
          <cell r="C44" t="str">
            <v>AGEN.AME.MAT.OUT.IN</v>
          </cell>
          <cell r="D44">
            <v>860150.85600000015</v>
          </cell>
          <cell r="E44">
            <v>0</v>
          </cell>
          <cell r="F44">
            <v>0</v>
          </cell>
          <cell r="G44">
            <v>0</v>
          </cell>
          <cell r="H44">
            <v>860150.85600000015</v>
          </cell>
          <cell r="I44" t="str">
            <v>Immobilisations corporelles</v>
          </cell>
          <cell r="J44">
            <v>860150.85600000015</v>
          </cell>
          <cell r="K44">
            <v>0</v>
          </cell>
          <cell r="L44">
            <v>2785.6680000000006</v>
          </cell>
          <cell r="M44">
            <v>857365.1880000002</v>
          </cell>
        </row>
        <row r="45">
          <cell r="B45">
            <v>224000000</v>
          </cell>
          <cell r="C45" t="str">
            <v>MATERIEL DE TRANSPORT</v>
          </cell>
          <cell r="D45">
            <v>827475.39700000011</v>
          </cell>
          <cell r="E45">
            <v>15000</v>
          </cell>
          <cell r="F45">
            <v>538268.28899999999</v>
          </cell>
          <cell r="G45">
            <v>117782.269</v>
          </cell>
          <cell r="H45">
            <v>1498525.9550000003</v>
          </cell>
          <cell r="I45" t="str">
            <v>Immobilisations corporelles</v>
          </cell>
          <cell r="J45">
            <v>1498525.9550000003</v>
          </cell>
          <cell r="K45">
            <v>0</v>
          </cell>
          <cell r="L45">
            <v>0</v>
          </cell>
          <cell r="M45">
            <v>1498525.9550000003</v>
          </cell>
        </row>
        <row r="46">
          <cell r="B46">
            <v>224000000.09999999</v>
          </cell>
          <cell r="C46" t="str">
            <v xml:space="preserve">MATERIEL DE TRANSPORT leasing </v>
          </cell>
          <cell r="H46">
            <v>0</v>
          </cell>
          <cell r="J46">
            <v>0</v>
          </cell>
          <cell r="K46">
            <v>0</v>
          </cell>
          <cell r="L46">
            <v>0</v>
          </cell>
          <cell r="M46">
            <v>0</v>
          </cell>
        </row>
        <row r="47">
          <cell r="B47">
            <v>228000000</v>
          </cell>
          <cell r="C47" t="str">
            <v>AUTRE IMMOB.CORPOR.</v>
          </cell>
          <cell r="H47">
            <v>0</v>
          </cell>
          <cell r="J47">
            <v>0</v>
          </cell>
          <cell r="K47">
            <v>0</v>
          </cell>
          <cell r="L47">
            <v>0</v>
          </cell>
          <cell r="M47">
            <v>0</v>
          </cell>
        </row>
        <row r="48">
          <cell r="B48">
            <v>228100000</v>
          </cell>
          <cell r="C48" t="str">
            <v>INSTAL.GLES.AG.AM.DI</v>
          </cell>
          <cell r="D48">
            <v>0</v>
          </cell>
          <cell r="E48">
            <v>0</v>
          </cell>
          <cell r="F48">
            <v>41113.872000000003</v>
          </cell>
          <cell r="G48">
            <v>0</v>
          </cell>
          <cell r="H48">
            <v>41113.872000000003</v>
          </cell>
          <cell r="I48" t="str">
            <v>Immobilisations corporelles</v>
          </cell>
          <cell r="J48">
            <v>41113.872000000003</v>
          </cell>
          <cell r="K48">
            <v>0</v>
          </cell>
          <cell r="L48">
            <v>0</v>
          </cell>
          <cell r="M48">
            <v>41113.872000000003</v>
          </cell>
        </row>
        <row r="49">
          <cell r="B49">
            <v>228200000</v>
          </cell>
          <cell r="C49" t="str">
            <v>EQUIPEMENTS DE BURE.</v>
          </cell>
          <cell r="D49">
            <v>185081.25215000001</v>
          </cell>
          <cell r="E49">
            <v>278.81299999999999</v>
          </cell>
          <cell r="F49">
            <v>27966.725999999999</v>
          </cell>
          <cell r="G49">
            <v>0</v>
          </cell>
          <cell r="H49">
            <v>213326.79115</v>
          </cell>
          <cell r="I49" t="str">
            <v>Immobilisations corporelles</v>
          </cell>
          <cell r="J49">
            <v>213326.79115</v>
          </cell>
          <cell r="K49">
            <v>0</v>
          </cell>
          <cell r="L49">
            <v>0</v>
          </cell>
          <cell r="M49">
            <v>213326.79115</v>
          </cell>
        </row>
        <row r="50">
          <cell r="B50">
            <v>228300000</v>
          </cell>
          <cell r="C50" t="str">
            <v>MATERIEL INFORMATIQUE</v>
          </cell>
          <cell r="D50">
            <v>104896.86800000002</v>
          </cell>
          <cell r="E50">
            <v>0</v>
          </cell>
          <cell r="F50">
            <v>48111.042000000001</v>
          </cell>
          <cell r="G50">
            <v>2638.9</v>
          </cell>
          <cell r="H50">
            <v>155646.81000000003</v>
          </cell>
          <cell r="I50" t="str">
            <v>Immobilisations corporelles</v>
          </cell>
          <cell r="J50">
            <v>155646.81000000003</v>
          </cell>
          <cell r="K50">
            <v>0</v>
          </cell>
          <cell r="L50">
            <v>0</v>
          </cell>
          <cell r="M50">
            <v>155646.81000000003</v>
          </cell>
        </row>
        <row r="51">
          <cell r="B51">
            <v>230000000</v>
          </cell>
          <cell r="C51" t="str">
            <v>IMMOBILISATION EN CO</v>
          </cell>
          <cell r="H51">
            <v>0</v>
          </cell>
          <cell r="J51">
            <v>0</v>
          </cell>
          <cell r="K51">
            <v>0</v>
          </cell>
          <cell r="L51">
            <v>0</v>
          </cell>
          <cell r="M51">
            <v>0</v>
          </cell>
        </row>
        <row r="52">
          <cell r="B52">
            <v>232000000</v>
          </cell>
          <cell r="C52" t="str">
            <v>IMMO.COR.EN COURS</v>
          </cell>
          <cell r="D52">
            <v>1851028.891297502</v>
          </cell>
          <cell r="E52">
            <v>0</v>
          </cell>
          <cell r="F52">
            <v>0</v>
          </cell>
          <cell r="G52">
            <v>0</v>
          </cell>
          <cell r="H52">
            <v>1851028.891297502</v>
          </cell>
          <cell r="I52" t="str">
            <v>Immobilisations corporelles</v>
          </cell>
          <cell r="J52">
            <v>1851028.891297502</v>
          </cell>
          <cell r="K52">
            <v>0</v>
          </cell>
          <cell r="L52">
            <v>0</v>
          </cell>
          <cell r="M52">
            <v>1851028.891297502</v>
          </cell>
        </row>
        <row r="53">
          <cell r="B53">
            <v>232200000</v>
          </cell>
          <cell r="C53" t="str">
            <v>CONSTRUC.EN COURS</v>
          </cell>
          <cell r="D53">
            <v>0</v>
          </cell>
          <cell r="E53">
            <v>0</v>
          </cell>
          <cell r="F53">
            <v>0</v>
          </cell>
          <cell r="G53">
            <v>0</v>
          </cell>
          <cell r="H53">
            <v>0</v>
          </cell>
          <cell r="J53">
            <v>0</v>
          </cell>
          <cell r="K53">
            <v>0</v>
          </cell>
          <cell r="L53">
            <v>0</v>
          </cell>
          <cell r="M53">
            <v>0</v>
          </cell>
        </row>
        <row r="54">
          <cell r="B54">
            <v>232250000</v>
          </cell>
          <cell r="C54" t="str">
            <v>INST.GEN.A.A.CONS.CO</v>
          </cell>
          <cell r="H54">
            <v>0</v>
          </cell>
          <cell r="J54">
            <v>0</v>
          </cell>
          <cell r="K54">
            <v>0</v>
          </cell>
          <cell r="L54">
            <v>0</v>
          </cell>
          <cell r="M54">
            <v>0</v>
          </cell>
        </row>
        <row r="55">
          <cell r="B55">
            <v>232310000</v>
          </cell>
          <cell r="C55" t="str">
            <v>INST.TECHNIQ.EN COU</v>
          </cell>
          <cell r="H55">
            <v>0</v>
          </cell>
          <cell r="J55">
            <v>0</v>
          </cell>
          <cell r="K55">
            <v>0</v>
          </cell>
          <cell r="L55">
            <v>0</v>
          </cell>
          <cell r="M55">
            <v>0</v>
          </cell>
        </row>
        <row r="56">
          <cell r="B56">
            <v>232370000</v>
          </cell>
          <cell r="C56" t="str">
            <v>A.A MAT&amp;OUT.IND.EN C</v>
          </cell>
          <cell r="H56">
            <v>0</v>
          </cell>
          <cell r="J56">
            <v>0</v>
          </cell>
          <cell r="K56">
            <v>0</v>
          </cell>
          <cell r="L56">
            <v>0</v>
          </cell>
          <cell r="M56">
            <v>0</v>
          </cell>
        </row>
        <row r="57">
          <cell r="B57">
            <v>232500000</v>
          </cell>
          <cell r="C57" t="str">
            <v>Plantations en cours</v>
          </cell>
          <cell r="H57">
            <v>0</v>
          </cell>
          <cell r="J57">
            <v>0</v>
          </cell>
          <cell r="K57">
            <v>0</v>
          </cell>
          <cell r="L57">
            <v>0</v>
          </cell>
          <cell r="M57">
            <v>0</v>
          </cell>
        </row>
        <row r="58">
          <cell r="B58">
            <v>238000000</v>
          </cell>
          <cell r="C58" t="str">
            <v>AVC&amp;ACP/COM IMM.INC</v>
          </cell>
          <cell r="H58">
            <v>0</v>
          </cell>
          <cell r="J58">
            <v>0</v>
          </cell>
          <cell r="K58">
            <v>0</v>
          </cell>
          <cell r="L58">
            <v>0</v>
          </cell>
          <cell r="M58">
            <v>0</v>
          </cell>
        </row>
        <row r="59">
          <cell r="B59">
            <v>240000000</v>
          </cell>
          <cell r="C59" t="str">
            <v>IMMOB.A STAT.JUR.PAR</v>
          </cell>
          <cell r="D59">
            <v>499633.29599999997</v>
          </cell>
          <cell r="E59">
            <v>0</v>
          </cell>
          <cell r="F59">
            <v>1010242.026</v>
          </cell>
          <cell r="G59">
            <v>24397.485000000001</v>
          </cell>
          <cell r="H59">
            <v>1534272.807</v>
          </cell>
          <cell r="I59" t="str">
            <v>Immobilisations corporelles</v>
          </cell>
          <cell r="J59">
            <v>1534272.807</v>
          </cell>
          <cell r="K59">
            <v>0</v>
          </cell>
          <cell r="L59">
            <v>0</v>
          </cell>
          <cell r="M59">
            <v>1534272.807</v>
          </cell>
        </row>
        <row r="60">
          <cell r="B60">
            <v>250000000</v>
          </cell>
          <cell r="C60" t="str">
            <v>PARTICIP.CREN.LIE.A.P</v>
          </cell>
          <cell r="H60">
            <v>0</v>
          </cell>
          <cell r="J60">
            <v>0</v>
          </cell>
          <cell r="K60">
            <v>0</v>
          </cell>
          <cell r="L60">
            <v>0</v>
          </cell>
          <cell r="M60">
            <v>0</v>
          </cell>
        </row>
        <row r="61">
          <cell r="B61">
            <v>251000000</v>
          </cell>
          <cell r="C61" t="str">
            <v>TITRES DE PARTICIPAT.</v>
          </cell>
          <cell r="D61">
            <v>0</v>
          </cell>
          <cell r="E61">
            <v>0</v>
          </cell>
          <cell r="F61">
            <v>225</v>
          </cell>
          <cell r="G61">
            <v>0</v>
          </cell>
          <cell r="H61">
            <v>225</v>
          </cell>
          <cell r="I61" t="str">
            <v>Immobilisations financières</v>
          </cell>
          <cell r="J61">
            <v>225</v>
          </cell>
          <cell r="K61">
            <v>0</v>
          </cell>
          <cell r="L61">
            <v>0</v>
          </cell>
          <cell r="M61">
            <v>225</v>
          </cell>
        </row>
        <row r="62">
          <cell r="B62">
            <v>251099990</v>
          </cell>
          <cell r="C62" t="str">
            <v>Titres en autocontrôle</v>
          </cell>
          <cell r="H62">
            <v>0</v>
          </cell>
          <cell r="J62">
            <v>0</v>
          </cell>
          <cell r="K62">
            <v>0</v>
          </cell>
          <cell r="L62">
            <v>0</v>
          </cell>
          <cell r="M62">
            <v>0</v>
          </cell>
        </row>
        <row r="63">
          <cell r="B63">
            <v>251100000</v>
          </cell>
          <cell r="C63" t="str">
            <v>TITRES DE PARTICIPAT.SND</v>
          </cell>
          <cell r="D63">
            <v>266820</v>
          </cell>
          <cell r="E63">
            <v>0</v>
          </cell>
          <cell r="F63">
            <v>0</v>
          </cell>
          <cell r="G63">
            <v>0</v>
          </cell>
          <cell r="H63">
            <v>266820</v>
          </cell>
          <cell r="I63" t="str">
            <v>Immobilisations financières</v>
          </cell>
          <cell r="J63">
            <v>266820</v>
          </cell>
          <cell r="K63">
            <v>0</v>
          </cell>
          <cell r="L63">
            <v>266820</v>
          </cell>
          <cell r="M63">
            <v>0</v>
          </cell>
        </row>
        <row r="64">
          <cell r="B64">
            <v>251200000</v>
          </cell>
          <cell r="C64" t="str">
            <v>TITRES DE PARTICIPAT.NHB</v>
          </cell>
          <cell r="D64">
            <v>512700</v>
          </cell>
          <cell r="E64">
            <v>0</v>
          </cell>
          <cell r="F64">
            <v>0</v>
          </cell>
          <cell r="G64">
            <v>0</v>
          </cell>
          <cell r="H64">
            <v>512700</v>
          </cell>
          <cell r="I64" t="str">
            <v>Immobilisations financières</v>
          </cell>
          <cell r="J64">
            <v>512700</v>
          </cell>
          <cell r="K64">
            <v>0</v>
          </cell>
          <cell r="L64">
            <v>512700</v>
          </cell>
          <cell r="M64">
            <v>0</v>
          </cell>
        </row>
        <row r="65">
          <cell r="B65">
            <v>251300000</v>
          </cell>
          <cell r="C65" t="str">
            <v>TITRES DE PARTICIP. TIP</v>
          </cell>
          <cell r="D65">
            <v>677000</v>
          </cell>
          <cell r="E65">
            <v>0</v>
          </cell>
          <cell r="F65">
            <v>0</v>
          </cell>
          <cell r="G65">
            <v>0</v>
          </cell>
          <cell r="H65">
            <v>677000</v>
          </cell>
          <cell r="I65" t="str">
            <v>Immobilisations financières</v>
          </cell>
          <cell r="J65">
            <v>677000</v>
          </cell>
          <cell r="K65">
            <v>0</v>
          </cell>
          <cell r="L65">
            <v>677000</v>
          </cell>
          <cell r="M65">
            <v>0</v>
          </cell>
        </row>
        <row r="66">
          <cell r="B66">
            <v>251999990</v>
          </cell>
          <cell r="C66" t="str">
            <v xml:space="preserve">TITRES MIS EN EQUIVALENCE </v>
          </cell>
          <cell r="H66">
            <v>0</v>
          </cell>
          <cell r="I66" t="str">
            <v>Titres mis en équivalence</v>
          </cell>
          <cell r="J66">
            <v>0</v>
          </cell>
          <cell r="K66">
            <v>0</v>
          </cell>
          <cell r="L66">
            <v>0</v>
          </cell>
          <cell r="M66">
            <v>0</v>
          </cell>
        </row>
        <row r="67">
          <cell r="B67">
            <v>258100000</v>
          </cell>
          <cell r="C67" t="str">
            <v>AVANCE SUR PARTICIPATION</v>
          </cell>
          <cell r="H67">
            <v>0</v>
          </cell>
          <cell r="J67">
            <v>0</v>
          </cell>
          <cell r="K67">
            <v>0</v>
          </cell>
          <cell r="L67">
            <v>0</v>
          </cell>
          <cell r="M67">
            <v>0</v>
          </cell>
        </row>
        <row r="68">
          <cell r="B68">
            <v>264000000</v>
          </cell>
          <cell r="C68" t="str">
            <v>PRETS</v>
          </cell>
          <cell r="H68">
            <v>0</v>
          </cell>
          <cell r="J68">
            <v>0</v>
          </cell>
          <cell r="K68">
            <v>0</v>
          </cell>
          <cell r="L68">
            <v>0</v>
          </cell>
          <cell r="M68">
            <v>0</v>
          </cell>
        </row>
        <row r="69">
          <cell r="B69">
            <v>264300000</v>
          </cell>
          <cell r="C69" t="str">
            <v>PRETS AU PERSONNEL</v>
          </cell>
          <cell r="D69">
            <v>0</v>
          </cell>
          <cell r="E69">
            <v>0</v>
          </cell>
          <cell r="F69">
            <v>0</v>
          </cell>
          <cell r="G69">
            <v>0</v>
          </cell>
          <cell r="H69">
            <v>0</v>
          </cell>
          <cell r="J69">
            <v>0</v>
          </cell>
          <cell r="K69">
            <v>0</v>
          </cell>
          <cell r="L69">
            <v>0</v>
          </cell>
          <cell r="M69">
            <v>0</v>
          </cell>
        </row>
        <row r="70">
          <cell r="B70">
            <v>264400000</v>
          </cell>
          <cell r="C70" t="str">
            <v>Avance a echeance</v>
          </cell>
          <cell r="H70">
            <v>0</v>
          </cell>
          <cell r="J70">
            <v>0</v>
          </cell>
          <cell r="K70">
            <v>0</v>
          </cell>
          <cell r="L70">
            <v>0</v>
          </cell>
          <cell r="M70">
            <v>0</v>
          </cell>
        </row>
        <row r="71">
          <cell r="B71">
            <v>265000000</v>
          </cell>
          <cell r="C71" t="str">
            <v>DEPOTS ET CAUT.VERS</v>
          </cell>
          <cell r="D71">
            <v>114210.96400000001</v>
          </cell>
          <cell r="E71">
            <v>-588.20000000000005</v>
          </cell>
          <cell r="F71">
            <v>123756.46400000001</v>
          </cell>
          <cell r="G71">
            <v>0</v>
          </cell>
          <cell r="H71">
            <v>237379.228</v>
          </cell>
          <cell r="I71" t="str">
            <v>Dépôts et cautionnements</v>
          </cell>
          <cell r="J71">
            <v>237379.228</v>
          </cell>
          <cell r="K71">
            <v>0</v>
          </cell>
          <cell r="L71">
            <v>0</v>
          </cell>
          <cell r="M71">
            <v>237379.228</v>
          </cell>
        </row>
        <row r="72">
          <cell r="B72">
            <v>265100000</v>
          </cell>
          <cell r="C72" t="str">
            <v>DEPOTS</v>
          </cell>
          <cell r="H72">
            <v>0</v>
          </cell>
          <cell r="J72">
            <v>0</v>
          </cell>
          <cell r="K72">
            <v>0</v>
          </cell>
          <cell r="L72">
            <v>0</v>
          </cell>
          <cell r="M72">
            <v>0</v>
          </cell>
        </row>
        <row r="73">
          <cell r="B73">
            <v>265500000</v>
          </cell>
          <cell r="C73" t="str">
            <v>CAUTIONNEMENTS</v>
          </cell>
          <cell r="H73">
            <v>0</v>
          </cell>
          <cell r="J73">
            <v>0</v>
          </cell>
          <cell r="K73">
            <v>0</v>
          </cell>
          <cell r="L73">
            <v>0</v>
          </cell>
          <cell r="M73">
            <v>0</v>
          </cell>
        </row>
        <row r="74">
          <cell r="B74">
            <v>271000000</v>
          </cell>
          <cell r="C74" t="str">
            <v>FRAIS PRELIMINAIRES</v>
          </cell>
          <cell r="H74">
            <v>0</v>
          </cell>
          <cell r="J74">
            <v>0</v>
          </cell>
          <cell r="K74">
            <v>0</v>
          </cell>
          <cell r="L74">
            <v>0</v>
          </cell>
          <cell r="M74">
            <v>0</v>
          </cell>
        </row>
        <row r="75">
          <cell r="B75">
            <v>281000000</v>
          </cell>
          <cell r="C75" t="str">
            <v>AMORT.DES IMM.INCOR</v>
          </cell>
          <cell r="H75">
            <v>0</v>
          </cell>
          <cell r="J75">
            <v>0</v>
          </cell>
          <cell r="K75">
            <v>0</v>
          </cell>
          <cell r="L75">
            <v>0</v>
          </cell>
          <cell r="M75">
            <v>0</v>
          </cell>
        </row>
        <row r="76">
          <cell r="B76">
            <v>281100000</v>
          </cell>
          <cell r="C76" t="str">
            <v>INVEST.DE RECH&amp;DEVE</v>
          </cell>
          <cell r="H76">
            <v>0</v>
          </cell>
          <cell r="J76">
            <v>0</v>
          </cell>
          <cell r="K76">
            <v>0</v>
          </cell>
          <cell r="L76">
            <v>0</v>
          </cell>
          <cell r="M76">
            <v>0</v>
          </cell>
        </row>
        <row r="77">
          <cell r="B77">
            <v>281300000</v>
          </cell>
          <cell r="C77" t="str">
            <v>AMORT LOGICIELS</v>
          </cell>
          <cell r="D77">
            <v>-53567.576000000001</v>
          </cell>
          <cell r="E77">
            <v>0</v>
          </cell>
          <cell r="F77">
            <v>0</v>
          </cell>
          <cell r="G77">
            <v>0</v>
          </cell>
          <cell r="H77">
            <v>-53567.576000000001</v>
          </cell>
          <cell r="I77" t="str">
            <v>Amortissement immobilisations incorporelles</v>
          </cell>
          <cell r="J77">
            <v>-53567.576000000001</v>
          </cell>
          <cell r="K77">
            <v>0</v>
          </cell>
          <cell r="L77">
            <v>0</v>
          </cell>
          <cell r="M77">
            <v>-53567.576000000001</v>
          </cell>
        </row>
        <row r="78">
          <cell r="B78">
            <v>282160000</v>
          </cell>
          <cell r="C78" t="str">
            <v>AMOR.AGE.&amp;AME.D.TER</v>
          </cell>
          <cell r="D78">
            <v>-142776.53599999999</v>
          </cell>
          <cell r="E78">
            <v>0</v>
          </cell>
          <cell r="F78">
            <v>0</v>
          </cell>
          <cell r="G78">
            <v>0</v>
          </cell>
          <cell r="H78">
            <v>-142776.53599999999</v>
          </cell>
          <cell r="I78" t="str">
            <v>Amortissement immobilisations corporelles</v>
          </cell>
          <cell r="J78">
            <v>-142776.53599999999</v>
          </cell>
          <cell r="K78">
            <v>0</v>
          </cell>
          <cell r="L78">
            <v>0</v>
          </cell>
          <cell r="M78">
            <v>-142776.53599999999</v>
          </cell>
        </row>
        <row r="79">
          <cell r="B79">
            <v>282200000</v>
          </cell>
          <cell r="C79" t="str">
            <v>AMORTISSEMENT/CONS</v>
          </cell>
          <cell r="D79">
            <v>-2826385.4099999997</v>
          </cell>
          <cell r="E79">
            <v>0</v>
          </cell>
          <cell r="F79">
            <v>0</v>
          </cell>
          <cell r="G79">
            <v>0</v>
          </cell>
          <cell r="H79">
            <v>-2826385.4099999997</v>
          </cell>
          <cell r="I79" t="str">
            <v>Amortissement immobilisations corporelles</v>
          </cell>
          <cell r="J79">
            <v>-2826385.4099999997</v>
          </cell>
          <cell r="K79">
            <v>0</v>
          </cell>
          <cell r="L79">
            <v>0</v>
          </cell>
          <cell r="M79">
            <v>-2826385.4099999997</v>
          </cell>
        </row>
        <row r="80">
          <cell r="B80">
            <v>282250000</v>
          </cell>
          <cell r="C80" t="str">
            <v>AMOR.INS.GEN.AG&amp;A.C</v>
          </cell>
          <cell r="D80">
            <v>-158331.54699999999</v>
          </cell>
          <cell r="E80">
            <v>0</v>
          </cell>
          <cell r="F80">
            <v>0</v>
          </cell>
          <cell r="G80">
            <v>-2439.0439999999999</v>
          </cell>
          <cell r="H80">
            <v>-160770.59099999999</v>
          </cell>
          <cell r="I80" t="str">
            <v>Amortissement immobilisations corporelles</v>
          </cell>
          <cell r="J80">
            <v>-160770.59099999999</v>
          </cell>
          <cell r="K80">
            <v>15280.376712328767</v>
          </cell>
          <cell r="L80">
            <v>0</v>
          </cell>
          <cell r="M80">
            <v>-145490.21428767123</v>
          </cell>
        </row>
        <row r="81">
          <cell r="B81">
            <v>282251000</v>
          </cell>
          <cell r="C81" t="str">
            <v>AMORT  AG.AM.CONST./SOL D'ATRUI</v>
          </cell>
          <cell r="D81">
            <v>0</v>
          </cell>
          <cell r="E81">
            <v>0</v>
          </cell>
          <cell r="F81">
            <v>-8909.4210000000003</v>
          </cell>
          <cell r="G81">
            <v>0</v>
          </cell>
          <cell r="H81">
            <v>-8909.4210000000003</v>
          </cell>
          <cell r="I81" t="str">
            <v>Amortissement immobilisations corporelles</v>
          </cell>
          <cell r="J81">
            <v>-8909.4210000000003</v>
          </cell>
          <cell r="K81">
            <v>0</v>
          </cell>
          <cell r="L81">
            <v>0</v>
          </cell>
          <cell r="M81">
            <v>-8909.4210000000003</v>
          </cell>
        </row>
        <row r="82">
          <cell r="B82">
            <v>282310000</v>
          </cell>
          <cell r="C82" t="str">
            <v>AMORT./INST.TECHNIQ.</v>
          </cell>
          <cell r="D82">
            <v>0</v>
          </cell>
          <cell r="E82">
            <v>0</v>
          </cell>
          <cell r="F82">
            <v>0</v>
          </cell>
          <cell r="G82">
            <v>-1467.606</v>
          </cell>
          <cell r="H82">
            <v>-1467.606</v>
          </cell>
          <cell r="I82" t="str">
            <v>Amortissement immobilisations corporelles</v>
          </cell>
          <cell r="J82">
            <v>-1467.606</v>
          </cell>
          <cell r="K82">
            <v>0</v>
          </cell>
          <cell r="L82">
            <v>0</v>
          </cell>
          <cell r="M82">
            <v>-1467.606</v>
          </cell>
        </row>
        <row r="83">
          <cell r="B83">
            <v>282340000</v>
          </cell>
          <cell r="C83" t="str">
            <v>AMORT./MATERIEL IND.</v>
          </cell>
          <cell r="D83">
            <v>-12977545.491999999</v>
          </cell>
          <cell r="E83">
            <v>-542547.37100000004</v>
          </cell>
          <cell r="F83">
            <v>-29661.39</v>
          </cell>
          <cell r="G83">
            <v>-113661.36900000001</v>
          </cell>
          <cell r="H83">
            <v>-13663415.622</v>
          </cell>
          <cell r="I83" t="str">
            <v>Amortissement immobilisations corporelles</v>
          </cell>
          <cell r="J83">
            <v>-13663415.622</v>
          </cell>
          <cell r="K83">
            <v>249693.42789067861</v>
          </cell>
          <cell r="L83">
            <v>0</v>
          </cell>
          <cell r="M83">
            <v>-13413722.194109321</v>
          </cell>
        </row>
        <row r="84">
          <cell r="B84">
            <v>282350000</v>
          </cell>
          <cell r="C84" t="str">
            <v>AMORT./OUTIL.INDUST.</v>
          </cell>
          <cell r="D84">
            <v>-205063.18300000002</v>
          </cell>
          <cell r="E84">
            <v>0</v>
          </cell>
          <cell r="F84">
            <v>0</v>
          </cell>
          <cell r="G84">
            <v>0</v>
          </cell>
          <cell r="H84">
            <v>-205063.18300000002</v>
          </cell>
          <cell r="I84" t="str">
            <v>Amortissement immobilisations corporelles</v>
          </cell>
          <cell r="J84">
            <v>-205063.18300000002</v>
          </cell>
          <cell r="K84">
            <v>0</v>
          </cell>
          <cell r="L84">
            <v>0</v>
          </cell>
          <cell r="M84">
            <v>-205063.18300000002</v>
          </cell>
        </row>
        <row r="85">
          <cell r="B85">
            <v>282370000</v>
          </cell>
          <cell r="C85" t="str">
            <v>AMOR./AGC&amp;AMEG.M.O.</v>
          </cell>
          <cell r="D85">
            <v>-712115.94099999999</v>
          </cell>
          <cell r="E85">
            <v>0</v>
          </cell>
          <cell r="F85">
            <v>0</v>
          </cell>
          <cell r="G85">
            <v>0</v>
          </cell>
          <cell r="H85">
            <v>-712115.94099999999</v>
          </cell>
          <cell r="I85" t="str">
            <v>Amortissement immobilisations corporelles</v>
          </cell>
          <cell r="J85">
            <v>-712115.94099999999</v>
          </cell>
          <cell r="K85">
            <v>611.46943186813201</v>
          </cell>
          <cell r="L85">
            <v>0</v>
          </cell>
          <cell r="M85">
            <v>-711504.47156813182</v>
          </cell>
        </row>
        <row r="86">
          <cell r="B86">
            <v>282400000</v>
          </cell>
          <cell r="C86" t="str">
            <v>AMORT.MAT.DE TRANS</v>
          </cell>
          <cell r="D86">
            <v>-442279.45499999996</v>
          </cell>
          <cell r="E86">
            <v>-12764.383</v>
          </cell>
          <cell r="F86">
            <v>-215617.55100000001</v>
          </cell>
          <cell r="G86">
            <v>-12714.031000000001</v>
          </cell>
          <cell r="H86">
            <v>-683375.41999999993</v>
          </cell>
          <cell r="I86" t="str">
            <v>Amortissement immobilisations corporelles</v>
          </cell>
          <cell r="J86">
            <v>-683375.41999999993</v>
          </cell>
          <cell r="K86">
            <v>0</v>
          </cell>
          <cell r="L86">
            <v>0</v>
          </cell>
          <cell r="M86">
            <v>-683375.41999999993</v>
          </cell>
        </row>
        <row r="87">
          <cell r="B87">
            <v>282500000</v>
          </cell>
          <cell r="H87">
            <v>0</v>
          </cell>
          <cell r="J87">
            <v>0</v>
          </cell>
          <cell r="K87">
            <v>0</v>
          </cell>
          <cell r="L87">
            <v>0</v>
          </cell>
          <cell r="M87">
            <v>0</v>
          </cell>
        </row>
        <row r="88">
          <cell r="B88">
            <v>282810000</v>
          </cell>
          <cell r="C88" t="str">
            <v>AMORT DES A.A.I.DIVERS</v>
          </cell>
          <cell r="D88">
            <v>0</v>
          </cell>
          <cell r="E88">
            <v>0</v>
          </cell>
          <cell r="F88">
            <v>-20278.919999999998</v>
          </cell>
          <cell r="G88">
            <v>0</v>
          </cell>
          <cell r="H88">
            <v>-20278.919999999998</v>
          </cell>
          <cell r="I88" t="str">
            <v>Amortissement immobilisations corporelles</v>
          </cell>
          <cell r="J88">
            <v>-20278.919999999998</v>
          </cell>
          <cell r="K88">
            <v>0</v>
          </cell>
          <cell r="L88">
            <v>0</v>
          </cell>
          <cell r="M88">
            <v>-20278.919999999998</v>
          </cell>
        </row>
        <row r="89">
          <cell r="B89">
            <v>282820000</v>
          </cell>
          <cell r="C89" t="str">
            <v>AMOR.EQUIP.DE BURE.</v>
          </cell>
          <cell r="D89">
            <v>-128900.826</v>
          </cell>
          <cell r="E89">
            <v>-278.81299999999999</v>
          </cell>
          <cell r="F89">
            <v>-22195.34</v>
          </cell>
          <cell r="G89">
            <v>0</v>
          </cell>
          <cell r="H89">
            <v>-151374.97899999999</v>
          </cell>
          <cell r="I89" t="str">
            <v>Amortissement immobilisations corporelles</v>
          </cell>
          <cell r="J89">
            <v>-151374.97899999999</v>
          </cell>
          <cell r="K89">
            <v>0</v>
          </cell>
          <cell r="L89">
            <v>0</v>
          </cell>
          <cell r="M89">
            <v>-151374.97899999999</v>
          </cell>
        </row>
        <row r="90">
          <cell r="B90">
            <v>282830000</v>
          </cell>
          <cell r="C90" t="str">
            <v>AMORT.MAT.INFORMATIQUE</v>
          </cell>
          <cell r="D90">
            <v>-77669.638999999996</v>
          </cell>
          <cell r="E90">
            <v>0</v>
          </cell>
          <cell r="F90">
            <v>-39440.752</v>
          </cell>
          <cell r="G90">
            <v>-2638.9</v>
          </cell>
          <cell r="H90">
            <v>-119749.291</v>
          </cell>
          <cell r="I90" t="str">
            <v>Amortissement immobilisations corporelles</v>
          </cell>
          <cell r="J90">
            <v>-119749.291</v>
          </cell>
          <cell r="K90">
            <v>0</v>
          </cell>
          <cell r="L90">
            <v>0</v>
          </cell>
          <cell r="M90">
            <v>-119749.291</v>
          </cell>
        </row>
        <row r="91">
          <cell r="B91">
            <v>284000000</v>
          </cell>
          <cell r="C91" t="str">
            <v>Amort.immob.carc.jur.par</v>
          </cell>
          <cell r="D91">
            <v>-463052.11100000003</v>
          </cell>
          <cell r="E91">
            <v>0</v>
          </cell>
          <cell r="F91">
            <v>-928240.01899999997</v>
          </cell>
          <cell r="G91">
            <v>-24397.486000000001</v>
          </cell>
          <cell r="H91">
            <v>-1415689.6159999999</v>
          </cell>
          <cell r="I91" t="str">
            <v>Amortissement immobilisations corporelles</v>
          </cell>
          <cell r="J91">
            <v>-1415689.6159999999</v>
          </cell>
          <cell r="K91">
            <v>0</v>
          </cell>
          <cell r="L91">
            <v>0</v>
          </cell>
          <cell r="M91">
            <v>-1415689.6159999999</v>
          </cell>
        </row>
        <row r="92">
          <cell r="B92">
            <v>288990000</v>
          </cell>
          <cell r="C92" t="str">
            <v>amortissement goodwill</v>
          </cell>
          <cell r="H92">
            <v>0</v>
          </cell>
          <cell r="I92" t="str">
            <v>Amortissement  d'écart d'acquision</v>
          </cell>
          <cell r="J92">
            <v>0</v>
          </cell>
          <cell r="K92">
            <v>0</v>
          </cell>
          <cell r="L92">
            <v>0</v>
          </cell>
          <cell r="M92">
            <v>0</v>
          </cell>
        </row>
        <row r="93">
          <cell r="B93">
            <v>292000000</v>
          </cell>
          <cell r="C93" t="str">
            <v>Provisions pour dépréciation des immobilisations corporelles</v>
          </cell>
          <cell r="H93">
            <v>0</v>
          </cell>
          <cell r="J93">
            <v>0</v>
          </cell>
          <cell r="K93">
            <v>0</v>
          </cell>
          <cell r="L93">
            <v>0</v>
          </cell>
          <cell r="M93">
            <v>0</v>
          </cell>
        </row>
        <row r="94">
          <cell r="B94">
            <v>292200000</v>
          </cell>
          <cell r="C94" t="str">
            <v>CONSTRUCTIONS</v>
          </cell>
          <cell r="H94">
            <v>0</v>
          </cell>
          <cell r="J94">
            <v>0</v>
          </cell>
          <cell r="K94">
            <v>0</v>
          </cell>
          <cell r="L94">
            <v>0</v>
          </cell>
          <cell r="M94">
            <v>0</v>
          </cell>
        </row>
        <row r="95">
          <cell r="B95">
            <v>292810000</v>
          </cell>
          <cell r="C95" t="str">
            <v>INS.GME.AGE.AME.DIVE</v>
          </cell>
          <cell r="H95">
            <v>0</v>
          </cell>
          <cell r="I95" t="str">
            <v>Immobilisations corporelles</v>
          </cell>
          <cell r="J95">
            <v>0</v>
          </cell>
          <cell r="K95">
            <v>0</v>
          </cell>
          <cell r="L95">
            <v>0</v>
          </cell>
          <cell r="M95">
            <v>0</v>
          </cell>
        </row>
        <row r="96">
          <cell r="B96">
            <v>292820000</v>
          </cell>
          <cell r="C96" t="str">
            <v>EQUIPEMENT DE BURE.</v>
          </cell>
          <cell r="D96">
            <v>0</v>
          </cell>
          <cell r="E96">
            <v>0</v>
          </cell>
          <cell r="F96">
            <v>0</v>
          </cell>
          <cell r="G96">
            <v>0</v>
          </cell>
          <cell r="H96">
            <v>0</v>
          </cell>
          <cell r="J96">
            <v>0</v>
          </cell>
          <cell r="K96">
            <v>0</v>
          </cell>
          <cell r="L96">
            <v>0</v>
          </cell>
          <cell r="M96">
            <v>0</v>
          </cell>
        </row>
        <row r="97">
          <cell r="B97">
            <v>295000000</v>
          </cell>
          <cell r="C97" t="str">
            <v xml:space="preserve">Provisions pour dépréciation des participations </v>
          </cell>
          <cell r="D97">
            <v>0</v>
          </cell>
          <cell r="E97">
            <v>0</v>
          </cell>
          <cell r="F97">
            <v>-225</v>
          </cell>
          <cell r="G97">
            <v>0</v>
          </cell>
          <cell r="H97">
            <v>-225</v>
          </cell>
          <cell r="I97" t="str">
            <v xml:space="preserve">Provisions immobilisations financières </v>
          </cell>
          <cell r="J97">
            <v>-225</v>
          </cell>
          <cell r="K97">
            <v>0</v>
          </cell>
          <cell r="L97">
            <v>0</v>
          </cell>
          <cell r="M97">
            <v>-225</v>
          </cell>
        </row>
        <row r="98">
          <cell r="B98">
            <v>297000000</v>
          </cell>
          <cell r="C98" t="str">
            <v>Provision pour dépréciation des autres immobilisations financières</v>
          </cell>
          <cell r="D98">
            <v>-29257.384999999998</v>
          </cell>
          <cell r="E98">
            <v>0</v>
          </cell>
          <cell r="F98">
            <v>0</v>
          </cell>
          <cell r="G98">
            <v>0</v>
          </cell>
          <cell r="H98">
            <v>-29257.384999999998</v>
          </cell>
          <cell r="I98" t="str">
            <v xml:space="preserve">Provisions immobilisations financières </v>
          </cell>
          <cell r="J98">
            <v>-29257.384999999998</v>
          </cell>
          <cell r="K98">
            <v>0</v>
          </cell>
          <cell r="L98">
            <v>0</v>
          </cell>
          <cell r="M98">
            <v>-29257.384999999998</v>
          </cell>
        </row>
        <row r="99">
          <cell r="B99">
            <v>311000000</v>
          </cell>
          <cell r="C99" t="str">
            <v>MATIERE PREMIERE</v>
          </cell>
          <cell r="D99">
            <v>7167934.089999998</v>
          </cell>
          <cell r="E99">
            <v>0</v>
          </cell>
          <cell r="F99">
            <v>0</v>
          </cell>
          <cell r="G99">
            <v>0</v>
          </cell>
          <cell r="H99">
            <v>7167934.089999998</v>
          </cell>
          <cell r="I99" t="str">
            <v>Stocks</v>
          </cell>
          <cell r="J99">
            <v>7167934.089999998</v>
          </cell>
          <cell r="K99">
            <v>0</v>
          </cell>
          <cell r="L99">
            <v>0</v>
          </cell>
          <cell r="M99">
            <v>7167934.089999998</v>
          </cell>
        </row>
        <row r="100">
          <cell r="B100">
            <v>317000000</v>
          </cell>
          <cell r="C100" t="str">
            <v>STOCK PIECES RECHAN (NOUR)</v>
          </cell>
          <cell r="H100">
            <v>0</v>
          </cell>
          <cell r="J100">
            <v>0</v>
          </cell>
          <cell r="K100">
            <v>0</v>
          </cell>
          <cell r="L100">
            <v>0</v>
          </cell>
          <cell r="M100">
            <v>0</v>
          </cell>
        </row>
        <row r="101">
          <cell r="B101">
            <v>321000000</v>
          </cell>
          <cell r="C101" t="str">
            <v>MATIERE CONSOMMAB.</v>
          </cell>
          <cell r="D101">
            <v>0</v>
          </cell>
          <cell r="E101">
            <v>0</v>
          </cell>
          <cell r="F101">
            <v>0</v>
          </cell>
          <cell r="G101">
            <v>75751.298999999999</v>
          </cell>
          <cell r="H101">
            <v>75751.298999999999</v>
          </cell>
          <cell r="I101" t="str">
            <v>Stocks</v>
          </cell>
          <cell r="J101">
            <v>75751.298999999999</v>
          </cell>
          <cell r="K101">
            <v>0</v>
          </cell>
          <cell r="L101">
            <v>0</v>
          </cell>
          <cell r="M101">
            <v>75751.298999999999</v>
          </cell>
        </row>
        <row r="102">
          <cell r="B102">
            <v>322000000</v>
          </cell>
          <cell r="C102" t="str">
            <v>FOURNITURES CONSO.</v>
          </cell>
          <cell r="D102">
            <v>689245.21200000017</v>
          </cell>
          <cell r="E102">
            <v>0</v>
          </cell>
          <cell r="F102">
            <v>0</v>
          </cell>
          <cell r="G102">
            <v>0</v>
          </cell>
          <cell r="H102">
            <v>689245.21200000017</v>
          </cell>
          <cell r="I102" t="str">
            <v>Stocks</v>
          </cell>
          <cell r="J102">
            <v>689245.21200000017</v>
          </cell>
          <cell r="K102">
            <v>0</v>
          </cell>
          <cell r="L102">
            <v>0</v>
          </cell>
          <cell r="M102">
            <v>689245.21200000017</v>
          </cell>
        </row>
        <row r="103">
          <cell r="B103">
            <v>331000000</v>
          </cell>
          <cell r="C103" t="str">
            <v>PRODUITS EN COURS</v>
          </cell>
          <cell r="D103">
            <v>3191798.3089999994</v>
          </cell>
          <cell r="E103">
            <v>0</v>
          </cell>
          <cell r="F103">
            <v>0</v>
          </cell>
          <cell r="G103">
            <v>0</v>
          </cell>
          <cell r="H103">
            <v>3191798.3089999994</v>
          </cell>
          <cell r="I103" t="str">
            <v>Stocks</v>
          </cell>
          <cell r="J103">
            <v>3191798.3089999994</v>
          </cell>
          <cell r="K103">
            <v>0</v>
          </cell>
          <cell r="L103">
            <v>0</v>
          </cell>
          <cell r="M103">
            <v>3191798.3089999994</v>
          </cell>
        </row>
        <row r="104">
          <cell r="B104">
            <v>335000000</v>
          </cell>
          <cell r="C104" t="str">
            <v>TRAVAUX EN COURS</v>
          </cell>
          <cell r="H104">
            <v>0</v>
          </cell>
          <cell r="J104">
            <v>0</v>
          </cell>
          <cell r="K104">
            <v>0</v>
          </cell>
          <cell r="L104">
            <v>0</v>
          </cell>
          <cell r="M104">
            <v>0</v>
          </cell>
        </row>
        <row r="105">
          <cell r="B105">
            <v>341000000</v>
          </cell>
          <cell r="C105" t="str">
            <v>ETUDES EN COURS</v>
          </cell>
          <cell r="H105">
            <v>0</v>
          </cell>
          <cell r="J105">
            <v>0</v>
          </cell>
          <cell r="K105">
            <v>0</v>
          </cell>
          <cell r="L105">
            <v>0</v>
          </cell>
          <cell r="M105">
            <v>0</v>
          </cell>
        </row>
        <row r="106">
          <cell r="B106">
            <v>350000000</v>
          </cell>
          <cell r="C106" t="str">
            <v>STOCKS DE PRODUITS</v>
          </cell>
          <cell r="H106">
            <v>0</v>
          </cell>
          <cell r="J106">
            <v>0</v>
          </cell>
          <cell r="K106">
            <v>0</v>
          </cell>
          <cell r="L106">
            <v>0</v>
          </cell>
          <cell r="M106">
            <v>0</v>
          </cell>
        </row>
        <row r="107">
          <cell r="B107">
            <v>355000000</v>
          </cell>
          <cell r="C107" t="str">
            <v>PRODUITS FINIS</v>
          </cell>
          <cell r="D107">
            <v>676138.96100000024</v>
          </cell>
          <cell r="E107">
            <v>0</v>
          </cell>
          <cell r="F107">
            <v>0</v>
          </cell>
          <cell r="G107">
            <v>0</v>
          </cell>
          <cell r="H107">
            <v>676138.96100000024</v>
          </cell>
          <cell r="I107" t="str">
            <v>Stocks</v>
          </cell>
          <cell r="J107">
            <v>676138.96100000024</v>
          </cell>
          <cell r="K107">
            <v>0</v>
          </cell>
          <cell r="L107">
            <v>0</v>
          </cell>
          <cell r="M107">
            <v>676138.96100000024</v>
          </cell>
        </row>
        <row r="108">
          <cell r="B108">
            <v>370000000</v>
          </cell>
          <cell r="C108" t="str">
            <v>STOCKS DE MARCHAND</v>
          </cell>
          <cell r="D108">
            <v>0</v>
          </cell>
          <cell r="E108">
            <v>0</v>
          </cell>
          <cell r="F108">
            <v>2643566.7930000001</v>
          </cell>
          <cell r="G108">
            <v>0</v>
          </cell>
          <cell r="H108">
            <v>2643566.7930000001</v>
          </cell>
          <cell r="I108" t="str">
            <v>Stocks</v>
          </cell>
          <cell r="J108">
            <v>2643566.7930000001</v>
          </cell>
          <cell r="K108">
            <v>330736.91983333341</v>
          </cell>
          <cell r="L108">
            <v>771331.3853333334</v>
          </cell>
          <cell r="M108">
            <v>2202972.3274999997</v>
          </cell>
        </row>
        <row r="109">
          <cell r="B109">
            <v>390000000</v>
          </cell>
          <cell r="C109" t="str">
            <v>PROVISIONS P.DEPR.STO</v>
          </cell>
          <cell r="D109">
            <v>-60168.118999999992</v>
          </cell>
          <cell r="E109">
            <v>0</v>
          </cell>
          <cell r="F109">
            <v>0</v>
          </cell>
          <cell r="G109">
            <v>0</v>
          </cell>
          <cell r="H109">
            <v>-60168.118999999992</v>
          </cell>
          <cell r="I109" t="str">
            <v>Provisions stocks</v>
          </cell>
          <cell r="J109">
            <v>-60168.118999999992</v>
          </cell>
          <cell r="K109">
            <v>0</v>
          </cell>
          <cell r="L109">
            <v>0</v>
          </cell>
          <cell r="M109">
            <v>-60168.118999999992</v>
          </cell>
        </row>
        <row r="110">
          <cell r="B110">
            <v>401000000</v>
          </cell>
          <cell r="C110" t="str">
            <v>FOURNISSEURS LOCAU</v>
          </cell>
          <cell r="D110">
            <v>-2233304.6330124885</v>
          </cell>
          <cell r="E110">
            <v>-447055.93400000001</v>
          </cell>
          <cell r="F110">
            <v>-11137212.264</v>
          </cell>
          <cell r="G110">
            <v>-255553.37900000004</v>
          </cell>
          <cell r="H110">
            <v>-14073126.21001249</v>
          </cell>
          <cell r="I110" t="str">
            <v>Fournisseurs &amp; comptes rattachés</v>
          </cell>
          <cell r="J110">
            <v>-14073126.21001249</v>
          </cell>
          <cell r="K110">
            <v>10845401.903000001</v>
          </cell>
          <cell r="L110">
            <v>0</v>
          </cell>
          <cell r="M110">
            <v>-3227724.3070124891</v>
          </cell>
        </row>
        <row r="111">
          <cell r="B111">
            <v>403000000</v>
          </cell>
          <cell r="C111" t="str">
            <v>FOURNIS.LOC.EFFE.A.P</v>
          </cell>
          <cell r="D111">
            <v>-940382.71499999799</v>
          </cell>
          <cell r="E111">
            <v>0</v>
          </cell>
          <cell r="F111">
            <v>-106222.053</v>
          </cell>
          <cell r="G111">
            <v>0</v>
          </cell>
          <cell r="H111">
            <v>-1046604.7679999979</v>
          </cell>
          <cell r="I111" t="str">
            <v>Fournisseurs &amp; comptes rattachés</v>
          </cell>
          <cell r="J111">
            <v>-1046604.7679999979</v>
          </cell>
          <cell r="K111">
            <v>0</v>
          </cell>
          <cell r="L111">
            <v>0</v>
          </cell>
          <cell r="M111">
            <v>-1046604.7679999979</v>
          </cell>
        </row>
        <row r="112">
          <cell r="B112">
            <v>403010000</v>
          </cell>
          <cell r="C112" t="str">
            <v>FOUR.LOC.EFF.A.P.I.GRO</v>
          </cell>
          <cell r="H112">
            <v>0</v>
          </cell>
          <cell r="J112">
            <v>0</v>
          </cell>
          <cell r="K112">
            <v>0</v>
          </cell>
          <cell r="L112">
            <v>0</v>
          </cell>
          <cell r="M112">
            <v>0</v>
          </cell>
        </row>
        <row r="113">
          <cell r="B113">
            <v>404000000</v>
          </cell>
          <cell r="C113" t="str">
            <v>FOURNIS.D'IMMOBILISA.</v>
          </cell>
          <cell r="H113">
            <v>0</v>
          </cell>
          <cell r="J113">
            <v>0</v>
          </cell>
          <cell r="K113">
            <v>0</v>
          </cell>
          <cell r="L113">
            <v>0</v>
          </cell>
          <cell r="M113">
            <v>0</v>
          </cell>
        </row>
        <row r="114">
          <cell r="B114">
            <v>404700000</v>
          </cell>
          <cell r="C114" t="str">
            <v>FSSR RETENU DE GARANTIE</v>
          </cell>
          <cell r="H114">
            <v>0</v>
          </cell>
          <cell r="J114">
            <v>0</v>
          </cell>
          <cell r="K114">
            <v>0</v>
          </cell>
          <cell r="L114">
            <v>0</v>
          </cell>
          <cell r="M114">
            <v>0</v>
          </cell>
        </row>
        <row r="115">
          <cell r="B115">
            <v>406000000</v>
          </cell>
          <cell r="C115" t="str">
            <v>FOURNISSEURS ETRAN.</v>
          </cell>
          <cell r="D115">
            <v>-1308149.2062756177</v>
          </cell>
          <cell r="E115">
            <v>0</v>
          </cell>
          <cell r="F115">
            <v>0</v>
          </cell>
          <cell r="G115">
            <v>0</v>
          </cell>
          <cell r="H115">
            <v>-1308149.2062756177</v>
          </cell>
          <cell r="I115" t="str">
            <v>Fournisseurs &amp; comptes rattachés</v>
          </cell>
          <cell r="J115">
            <v>-1308149.2062756177</v>
          </cell>
          <cell r="K115">
            <v>0</v>
          </cell>
          <cell r="L115">
            <v>0</v>
          </cell>
          <cell r="M115">
            <v>-1308149.2062756177</v>
          </cell>
        </row>
        <row r="116">
          <cell r="B116">
            <v>408000000</v>
          </cell>
          <cell r="C116" t="str">
            <v>FOUR.FACT.N.PARVENU</v>
          </cell>
          <cell r="D116">
            <v>-4980</v>
          </cell>
          <cell r="E116">
            <v>0</v>
          </cell>
          <cell r="F116">
            <v>0</v>
          </cell>
          <cell r="G116">
            <v>0</v>
          </cell>
          <cell r="H116">
            <v>-4980</v>
          </cell>
          <cell r="I116" t="str">
            <v>Fournisseurs &amp; comptes rattachés</v>
          </cell>
          <cell r="J116">
            <v>-4980</v>
          </cell>
          <cell r="K116">
            <v>0</v>
          </cell>
          <cell r="L116">
            <v>0</v>
          </cell>
          <cell r="M116">
            <v>-4980</v>
          </cell>
        </row>
        <row r="117">
          <cell r="B117">
            <v>408600000</v>
          </cell>
          <cell r="C117" t="str">
            <v>FOUR.ETR.FACT.N.PAR</v>
          </cell>
          <cell r="H117">
            <v>0</v>
          </cell>
          <cell r="J117">
            <v>0</v>
          </cell>
          <cell r="K117">
            <v>0</v>
          </cell>
          <cell r="L117">
            <v>0</v>
          </cell>
          <cell r="M117">
            <v>0</v>
          </cell>
        </row>
        <row r="118">
          <cell r="B118">
            <v>409100000</v>
          </cell>
          <cell r="C118" t="str">
            <v>FOURN.AV&amp;ACP.CERS.COM</v>
          </cell>
          <cell r="D118">
            <v>355580.717</v>
          </cell>
          <cell r="E118">
            <v>0</v>
          </cell>
          <cell r="F118">
            <v>0</v>
          </cell>
          <cell r="G118">
            <v>539576.15300000005</v>
          </cell>
          <cell r="H118">
            <v>895156.87000000011</v>
          </cell>
          <cell r="J118">
            <v>895156.87000000011</v>
          </cell>
          <cell r="K118">
            <v>0</v>
          </cell>
          <cell r="L118">
            <v>0</v>
          </cell>
          <cell r="M118">
            <v>895156.87000000011</v>
          </cell>
        </row>
        <row r="119">
          <cell r="B119">
            <v>411000000</v>
          </cell>
          <cell r="C119" t="str">
            <v>CLIENTS</v>
          </cell>
          <cell r="D119">
            <v>11715932.471658006</v>
          </cell>
          <cell r="E119">
            <v>470397.28499999992</v>
          </cell>
          <cell r="F119">
            <v>5734939.9299999997</v>
          </cell>
          <cell r="G119">
            <v>25876.616999999998</v>
          </cell>
          <cell r="H119">
            <v>17947146.303658005</v>
          </cell>
          <cell r="I119" t="str">
            <v>Clients et comptes rattachés</v>
          </cell>
          <cell r="J119">
            <v>17947146.303658005</v>
          </cell>
          <cell r="K119">
            <v>0</v>
          </cell>
          <cell r="L119">
            <v>10896927.119999988</v>
          </cell>
          <cell r="M119">
            <v>7050219.1836580168</v>
          </cell>
        </row>
        <row r="120">
          <cell r="B120">
            <v>413000000</v>
          </cell>
          <cell r="C120" t="str">
            <v>EFFETS EN PROTEFEUIL</v>
          </cell>
          <cell r="H120">
            <v>0</v>
          </cell>
          <cell r="J120">
            <v>0</v>
          </cell>
          <cell r="K120">
            <v>0</v>
          </cell>
          <cell r="L120">
            <v>0</v>
          </cell>
          <cell r="M120">
            <v>0</v>
          </cell>
        </row>
        <row r="121">
          <cell r="B121">
            <v>413010000</v>
          </cell>
          <cell r="C121" t="str">
            <v>CLIENTS EFETS A RECEV</v>
          </cell>
          <cell r="D121">
            <v>0</v>
          </cell>
          <cell r="E121">
            <v>0</v>
          </cell>
          <cell r="F121">
            <v>651638.30000000005</v>
          </cell>
          <cell r="G121">
            <v>0</v>
          </cell>
          <cell r="H121">
            <v>651638.30000000005</v>
          </cell>
          <cell r="I121" t="str">
            <v>Clients et comptes rattachés</v>
          </cell>
          <cell r="J121">
            <v>651638.30000000005</v>
          </cell>
          <cell r="K121">
            <v>0</v>
          </cell>
          <cell r="L121">
            <v>0</v>
          </cell>
          <cell r="M121">
            <v>651638.30000000005</v>
          </cell>
        </row>
        <row r="122">
          <cell r="B122">
            <v>415000000</v>
          </cell>
          <cell r="C122" t="str">
            <v>CLIENTS ETRANGERS</v>
          </cell>
          <cell r="D122">
            <v>2820122.5591355199</v>
          </cell>
          <cell r="E122">
            <v>0</v>
          </cell>
          <cell r="F122">
            <v>0</v>
          </cell>
          <cell r="G122">
            <v>0</v>
          </cell>
          <cell r="H122">
            <v>2820122.5591355199</v>
          </cell>
          <cell r="I122" t="str">
            <v>Clients et comptes rattachés</v>
          </cell>
          <cell r="J122">
            <v>2820122.5591355199</v>
          </cell>
          <cell r="K122">
            <v>0</v>
          </cell>
          <cell r="L122">
            <v>0</v>
          </cell>
          <cell r="M122">
            <v>2820122.5591355199</v>
          </cell>
        </row>
        <row r="123">
          <cell r="B123">
            <v>416000000</v>
          </cell>
          <cell r="C123" t="str">
            <v>CLIENTS DOUTEUX/LITI</v>
          </cell>
          <cell r="D123">
            <v>0</v>
          </cell>
          <cell r="E123">
            <v>0</v>
          </cell>
          <cell r="F123">
            <v>351680.33399999997</v>
          </cell>
          <cell r="G123">
            <v>0</v>
          </cell>
          <cell r="H123">
            <v>351680.33399999997</v>
          </cell>
          <cell r="I123" t="str">
            <v>Clients et comptes rattachés</v>
          </cell>
          <cell r="J123">
            <v>351680.33399999997</v>
          </cell>
          <cell r="K123">
            <v>0</v>
          </cell>
          <cell r="L123">
            <v>0</v>
          </cell>
          <cell r="M123">
            <v>351680.33399999997</v>
          </cell>
        </row>
        <row r="124">
          <cell r="B124">
            <v>416010000</v>
          </cell>
          <cell r="C124" t="str">
            <v>EFFETS IMPAYES</v>
          </cell>
          <cell r="D124">
            <v>0</v>
          </cell>
          <cell r="E124">
            <v>0</v>
          </cell>
          <cell r="F124">
            <v>29878.600999999999</v>
          </cell>
          <cell r="G124">
            <v>0</v>
          </cell>
          <cell r="H124">
            <v>29878.600999999999</v>
          </cell>
          <cell r="I124" t="str">
            <v>Clients et comptes rattachés</v>
          </cell>
          <cell r="J124">
            <v>29878.600999999999</v>
          </cell>
          <cell r="K124">
            <v>0</v>
          </cell>
          <cell r="L124">
            <v>0</v>
          </cell>
          <cell r="M124">
            <v>29878.600999999999</v>
          </cell>
        </row>
        <row r="125">
          <cell r="B125">
            <v>418000000</v>
          </cell>
          <cell r="C125" t="str">
            <v>CLIENTS PROD.N.ENC.F</v>
          </cell>
          <cell r="H125">
            <v>0</v>
          </cell>
          <cell r="J125">
            <v>0</v>
          </cell>
          <cell r="K125">
            <v>0</v>
          </cell>
          <cell r="L125">
            <v>0</v>
          </cell>
          <cell r="M125">
            <v>0</v>
          </cell>
        </row>
        <row r="126">
          <cell r="B126">
            <v>419100000</v>
          </cell>
          <cell r="C126" t="str">
            <v>CLIE. AV&amp;ACPT.REC.COMM</v>
          </cell>
          <cell r="H126">
            <v>0</v>
          </cell>
          <cell r="J126">
            <v>0</v>
          </cell>
          <cell r="K126">
            <v>0</v>
          </cell>
          <cell r="L126">
            <v>0</v>
          </cell>
          <cell r="M126">
            <v>0</v>
          </cell>
        </row>
        <row r="127">
          <cell r="B127">
            <v>421000000</v>
          </cell>
          <cell r="C127" t="str">
            <v>PERSON.AVA.ET.ACOMP</v>
          </cell>
          <cell r="D127">
            <v>0</v>
          </cell>
          <cell r="E127">
            <v>0</v>
          </cell>
          <cell r="F127">
            <v>0</v>
          </cell>
          <cell r="G127">
            <v>0</v>
          </cell>
          <cell r="H127">
            <v>0</v>
          </cell>
          <cell r="I127" t="str">
            <v>Autres actifs courants</v>
          </cell>
          <cell r="J127">
            <v>0</v>
          </cell>
          <cell r="K127">
            <v>0</v>
          </cell>
          <cell r="L127">
            <v>0</v>
          </cell>
          <cell r="M127">
            <v>0</v>
          </cell>
        </row>
        <row r="128">
          <cell r="B128">
            <v>421100000</v>
          </cell>
          <cell r="C128" t="str">
            <v>AVANCES AUTOM./ARO</v>
          </cell>
          <cell r="H128">
            <v>0</v>
          </cell>
          <cell r="J128">
            <v>0</v>
          </cell>
          <cell r="K128">
            <v>0</v>
          </cell>
          <cell r="L128">
            <v>0</v>
          </cell>
          <cell r="M128">
            <v>0</v>
          </cell>
        </row>
        <row r="129">
          <cell r="B129">
            <v>421200000</v>
          </cell>
          <cell r="C129" t="str">
            <v>PRETS SUR SALAIRES</v>
          </cell>
          <cell r="D129">
            <v>2203.3409999999785</v>
          </cell>
          <cell r="E129">
            <v>0</v>
          </cell>
          <cell r="F129">
            <v>600</v>
          </cell>
          <cell r="G129">
            <v>0</v>
          </cell>
          <cell r="H129">
            <v>2803.3409999999785</v>
          </cell>
          <cell r="I129" t="str">
            <v>Autres actifs courants</v>
          </cell>
          <cell r="J129">
            <v>2803.3409999999785</v>
          </cell>
          <cell r="K129">
            <v>0</v>
          </cell>
          <cell r="L129">
            <v>0</v>
          </cell>
          <cell r="M129">
            <v>2803.3409999999785</v>
          </cell>
        </row>
        <row r="130">
          <cell r="B130">
            <v>424000000</v>
          </cell>
          <cell r="C130" t="str">
            <v>ASSURANCE GROUPE</v>
          </cell>
          <cell r="D130">
            <v>0</v>
          </cell>
          <cell r="E130">
            <v>0</v>
          </cell>
          <cell r="F130">
            <v>0</v>
          </cell>
          <cell r="G130">
            <v>0</v>
          </cell>
          <cell r="H130">
            <v>0</v>
          </cell>
          <cell r="I130" t="str">
            <v>Autres actifs courants</v>
          </cell>
          <cell r="J130">
            <v>0</v>
          </cell>
          <cell r="K130">
            <v>0</v>
          </cell>
          <cell r="L130">
            <v>0</v>
          </cell>
          <cell r="M130">
            <v>0</v>
          </cell>
        </row>
        <row r="131">
          <cell r="B131">
            <v>425000000</v>
          </cell>
          <cell r="C131" t="str">
            <v>PERS.REMUNERA.DUES</v>
          </cell>
          <cell r="D131">
            <v>-108032.12899999786</v>
          </cell>
          <cell r="E131">
            <v>-3505.297999999998</v>
          </cell>
          <cell r="F131">
            <v>-27232.865000000002</v>
          </cell>
          <cell r="G131">
            <v>16726.569</v>
          </cell>
          <cell r="H131">
            <v>-122043.72299999786</v>
          </cell>
          <cell r="I131" t="str">
            <v>Autres passifs courants</v>
          </cell>
          <cell r="J131">
            <v>-122043.72299999786</v>
          </cell>
          <cell r="K131">
            <v>0</v>
          </cell>
          <cell r="L131">
            <v>0</v>
          </cell>
          <cell r="M131">
            <v>-122043.72299999786</v>
          </cell>
        </row>
        <row r="132">
          <cell r="B132">
            <v>427100000</v>
          </cell>
          <cell r="C132" t="str">
            <v>PRETS CNSS</v>
          </cell>
          <cell r="D132">
            <v>-274.04799999999932</v>
          </cell>
          <cell r="E132">
            <v>142.51300000000001</v>
          </cell>
          <cell r="F132">
            <v>0</v>
          </cell>
          <cell r="G132">
            <v>0</v>
          </cell>
          <cell r="H132">
            <v>-131.53499999999931</v>
          </cell>
          <cell r="I132" t="str">
            <v>Autres passifs courants</v>
          </cell>
          <cell r="J132">
            <v>-131.53499999999931</v>
          </cell>
          <cell r="K132">
            <v>0</v>
          </cell>
          <cell r="L132">
            <v>0</v>
          </cell>
          <cell r="M132">
            <v>-131.53499999999931</v>
          </cell>
        </row>
        <row r="133">
          <cell r="B133">
            <v>428200000</v>
          </cell>
          <cell r="C133" t="str">
            <v>PROVISION/CONGE A PAYER</v>
          </cell>
          <cell r="D133">
            <v>-142977.19000000006</v>
          </cell>
          <cell r="E133">
            <v>0</v>
          </cell>
          <cell r="F133">
            <v>0</v>
          </cell>
          <cell r="G133">
            <v>0</v>
          </cell>
          <cell r="H133">
            <v>-142977.19000000006</v>
          </cell>
          <cell r="I133" t="str">
            <v>Autres passifs courants</v>
          </cell>
          <cell r="J133">
            <v>-142977.19000000006</v>
          </cell>
          <cell r="K133">
            <v>0</v>
          </cell>
          <cell r="L133">
            <v>0</v>
          </cell>
          <cell r="M133">
            <v>-142977.19000000006</v>
          </cell>
        </row>
        <row r="134">
          <cell r="B134">
            <v>428600000</v>
          </cell>
          <cell r="C134" t="str">
            <v>AUTRES CHARGES A PAY</v>
          </cell>
          <cell r="D134">
            <v>0</v>
          </cell>
          <cell r="E134">
            <v>0</v>
          </cell>
          <cell r="F134">
            <v>-117524.356</v>
          </cell>
          <cell r="G134">
            <v>0</v>
          </cell>
          <cell r="H134">
            <v>-117524.356</v>
          </cell>
          <cell r="I134" t="str">
            <v>Autres passifs courants</v>
          </cell>
          <cell r="J134">
            <v>-117524.356</v>
          </cell>
          <cell r="K134">
            <v>0</v>
          </cell>
          <cell r="L134">
            <v>0</v>
          </cell>
          <cell r="M134">
            <v>-117524.356</v>
          </cell>
        </row>
        <row r="135">
          <cell r="B135">
            <v>430000000</v>
          </cell>
          <cell r="C135" t="str">
            <v>ETAT ET COLLECTI.PUB</v>
          </cell>
          <cell r="H135">
            <v>0</v>
          </cell>
          <cell r="J135">
            <v>0</v>
          </cell>
          <cell r="K135">
            <v>0</v>
          </cell>
          <cell r="L135">
            <v>0</v>
          </cell>
          <cell r="M135">
            <v>0</v>
          </cell>
        </row>
        <row r="136">
          <cell r="B136">
            <v>432000000</v>
          </cell>
          <cell r="C136" t="str">
            <v>ETAT IMPO&amp;TAX.ES R/S</v>
          </cell>
          <cell r="D136">
            <v>0</v>
          </cell>
          <cell r="E136">
            <v>0</v>
          </cell>
          <cell r="F136">
            <v>0</v>
          </cell>
          <cell r="G136">
            <v>0</v>
          </cell>
          <cell r="H136">
            <v>0</v>
          </cell>
          <cell r="J136">
            <v>0</v>
          </cell>
          <cell r="K136">
            <v>0</v>
          </cell>
          <cell r="L136">
            <v>0</v>
          </cell>
          <cell r="M136">
            <v>0</v>
          </cell>
        </row>
        <row r="137">
          <cell r="B137">
            <v>432100000</v>
          </cell>
          <cell r="C137" t="str">
            <v>R.S/PERSONNEL</v>
          </cell>
          <cell r="D137">
            <v>-3924.2409999999218</v>
          </cell>
          <cell r="E137">
            <v>340.52699999999999</v>
          </cell>
          <cell r="F137">
            <v>-2E-3</v>
          </cell>
          <cell r="G137">
            <v>0</v>
          </cell>
          <cell r="H137">
            <v>-3583.7159999999217</v>
          </cell>
          <cell r="I137" t="str">
            <v>Autres passifs courants</v>
          </cell>
          <cell r="J137">
            <v>-3583.7159999999217</v>
          </cell>
          <cell r="K137">
            <v>0</v>
          </cell>
          <cell r="L137">
            <v>0</v>
          </cell>
          <cell r="M137">
            <v>-3583.7159999999217</v>
          </cell>
        </row>
        <row r="138">
          <cell r="B138">
            <v>432110000</v>
          </cell>
          <cell r="C138" t="str">
            <v>RED.DE COMPENSATION 1%</v>
          </cell>
          <cell r="D138">
            <v>0</v>
          </cell>
          <cell r="E138">
            <v>0</v>
          </cell>
          <cell r="F138">
            <v>0</v>
          </cell>
          <cell r="G138">
            <v>0</v>
          </cell>
          <cell r="H138">
            <v>0</v>
          </cell>
          <cell r="J138">
            <v>0</v>
          </cell>
          <cell r="K138">
            <v>0</v>
          </cell>
          <cell r="L138">
            <v>0</v>
          </cell>
          <cell r="M138">
            <v>0</v>
          </cell>
        </row>
        <row r="139">
          <cell r="B139">
            <v>432115000</v>
          </cell>
          <cell r="C139" t="str">
            <v>EIT / RS 1.5 %</v>
          </cell>
          <cell r="D139">
            <v>-4.5474735088646412E-11</v>
          </cell>
          <cell r="E139">
            <v>0</v>
          </cell>
          <cell r="F139">
            <v>0</v>
          </cell>
          <cell r="G139">
            <v>22.774999999999999</v>
          </cell>
          <cell r="H139">
            <v>22.774999999954524</v>
          </cell>
          <cell r="I139" t="str">
            <v>Autres actifs courants</v>
          </cell>
          <cell r="J139">
            <v>22.774999999954524</v>
          </cell>
          <cell r="K139">
            <v>0</v>
          </cell>
          <cell r="L139">
            <v>0</v>
          </cell>
          <cell r="M139">
            <v>22.774999999954524</v>
          </cell>
        </row>
        <row r="140">
          <cell r="B140">
            <v>432125000</v>
          </cell>
          <cell r="C140" t="str">
            <v>EIT / RS 15 %</v>
          </cell>
          <cell r="H140">
            <v>0</v>
          </cell>
          <cell r="I140" t="str">
            <v>Autres passifs courants</v>
          </cell>
          <cell r="J140">
            <v>0</v>
          </cell>
          <cell r="K140">
            <v>0</v>
          </cell>
          <cell r="L140">
            <v>0</v>
          </cell>
          <cell r="M140">
            <v>0</v>
          </cell>
        </row>
        <row r="141">
          <cell r="B141">
            <v>432150000</v>
          </cell>
          <cell r="C141" t="str">
            <v>EIT / RS 5%</v>
          </cell>
          <cell r="D141">
            <v>0</v>
          </cell>
          <cell r="E141">
            <v>0</v>
          </cell>
          <cell r="F141">
            <v>0</v>
          </cell>
          <cell r="G141">
            <v>0</v>
          </cell>
          <cell r="H141">
            <v>0</v>
          </cell>
          <cell r="I141" t="str">
            <v>Autres passifs courants</v>
          </cell>
          <cell r="J141">
            <v>0</v>
          </cell>
          <cell r="K141">
            <v>0</v>
          </cell>
          <cell r="L141">
            <v>0</v>
          </cell>
          <cell r="M141">
            <v>0</v>
          </cell>
        </row>
        <row r="142">
          <cell r="B142">
            <v>432200000</v>
          </cell>
          <cell r="C142" t="str">
            <v>R.S/TIERS</v>
          </cell>
          <cell r="D142">
            <v>0</v>
          </cell>
          <cell r="E142">
            <v>0</v>
          </cell>
          <cell r="F142">
            <v>0</v>
          </cell>
          <cell r="G142">
            <v>0</v>
          </cell>
          <cell r="H142">
            <v>0</v>
          </cell>
          <cell r="I142" t="str">
            <v>Autres passifs courants</v>
          </cell>
          <cell r="J142">
            <v>0</v>
          </cell>
          <cell r="K142">
            <v>0</v>
          </cell>
          <cell r="L142">
            <v>0</v>
          </cell>
          <cell r="M142">
            <v>0</v>
          </cell>
        </row>
        <row r="143">
          <cell r="B143">
            <v>432220000</v>
          </cell>
          <cell r="C143" t="str">
            <v>AV/IRPP FORFAITAIRES 1%</v>
          </cell>
          <cell r="D143">
            <v>0</v>
          </cell>
          <cell r="E143">
            <v>0</v>
          </cell>
          <cell r="F143">
            <v>0</v>
          </cell>
          <cell r="G143">
            <v>0</v>
          </cell>
          <cell r="H143">
            <v>0</v>
          </cell>
          <cell r="J143">
            <v>0</v>
          </cell>
          <cell r="K143">
            <v>0</v>
          </cell>
          <cell r="L143">
            <v>0</v>
          </cell>
          <cell r="M143">
            <v>0</v>
          </cell>
        </row>
        <row r="144">
          <cell r="B144">
            <v>432203000</v>
          </cell>
          <cell r="C144" t="str">
            <v>R/S SUR TIERS 03%</v>
          </cell>
          <cell r="D144">
            <v>-3.0000000001564331E-3</v>
          </cell>
          <cell r="E144">
            <v>0</v>
          </cell>
          <cell r="F144">
            <v>0</v>
          </cell>
          <cell r="G144">
            <v>0</v>
          </cell>
          <cell r="H144">
            <v>-3.0000000001564331E-3</v>
          </cell>
          <cell r="I144" t="str">
            <v>Autres passifs courants</v>
          </cell>
          <cell r="J144">
            <v>-3.0000000001564331E-3</v>
          </cell>
          <cell r="K144">
            <v>0</v>
          </cell>
          <cell r="L144">
            <v>0</v>
          </cell>
          <cell r="M144">
            <v>-3.0000000001564331E-3</v>
          </cell>
        </row>
        <row r="145">
          <cell r="B145">
            <v>432230000</v>
          </cell>
          <cell r="C145" t="str">
            <v>CONT.SOC.DE SOLIDARITE</v>
          </cell>
          <cell r="D145">
            <v>-11927.493999999992</v>
          </cell>
          <cell r="E145">
            <v>-200</v>
          </cell>
          <cell r="F145">
            <v>-17400.235000000001</v>
          </cell>
          <cell r="G145">
            <v>-823.99999999999784</v>
          </cell>
          <cell r="H145">
            <v>-30351.728999999988</v>
          </cell>
          <cell r="I145" t="str">
            <v>Autres passifs courants</v>
          </cell>
          <cell r="J145">
            <v>-30351.728999999988</v>
          </cell>
          <cell r="K145">
            <v>0</v>
          </cell>
          <cell r="L145">
            <v>0</v>
          </cell>
          <cell r="M145">
            <v>-30351.728999999988</v>
          </cell>
        </row>
        <row r="146">
          <cell r="B146">
            <v>433100000</v>
          </cell>
          <cell r="C146" t="str">
            <v>TFP A PAYER</v>
          </cell>
          <cell r="D146">
            <v>0</v>
          </cell>
          <cell r="E146">
            <v>0</v>
          </cell>
          <cell r="F146">
            <v>-14920.56</v>
          </cell>
          <cell r="G146">
            <v>0</v>
          </cell>
          <cell r="H146">
            <v>-14920.56</v>
          </cell>
          <cell r="I146" t="str">
            <v>Autres passifs courants</v>
          </cell>
          <cell r="J146">
            <v>-14920.56</v>
          </cell>
          <cell r="K146">
            <v>0</v>
          </cell>
          <cell r="L146">
            <v>0</v>
          </cell>
          <cell r="M146">
            <v>-14920.56</v>
          </cell>
        </row>
        <row r="147">
          <cell r="B147">
            <v>434000000</v>
          </cell>
          <cell r="C147" t="str">
            <v>ETAT IMPOT SUR BENIF</v>
          </cell>
          <cell r="D147">
            <v>427842.31400000025</v>
          </cell>
          <cell r="E147">
            <v>7852.4539999999997</v>
          </cell>
          <cell r="F147">
            <v>46486.779000000002</v>
          </cell>
          <cell r="G147">
            <v>15085.618999999999</v>
          </cell>
          <cell r="H147">
            <v>497267.16600000026</v>
          </cell>
          <cell r="I147" t="str">
            <v>Autres actifs courants</v>
          </cell>
          <cell r="J147">
            <v>497267.16600000026</v>
          </cell>
          <cell r="K147">
            <v>0</v>
          </cell>
          <cell r="L147">
            <v>0</v>
          </cell>
          <cell r="M147">
            <v>497267.16600000026</v>
          </cell>
        </row>
        <row r="148">
          <cell r="B148">
            <v>434100000</v>
          </cell>
          <cell r="C148" t="str">
            <v>RET. A LA SOURCE /IS</v>
          </cell>
          <cell r="D148">
            <v>0</v>
          </cell>
          <cell r="E148">
            <v>14194.161</v>
          </cell>
          <cell r="F148">
            <v>0</v>
          </cell>
          <cell r="G148">
            <v>0</v>
          </cell>
          <cell r="H148">
            <v>14194.161</v>
          </cell>
          <cell r="I148" t="str">
            <v>Autres actifs courants</v>
          </cell>
          <cell r="J148">
            <v>14194.161</v>
          </cell>
          <cell r="K148">
            <v>1522.8409999999999</v>
          </cell>
          <cell r="L148">
            <v>0</v>
          </cell>
          <cell r="M148">
            <v>15717.002</v>
          </cell>
        </row>
        <row r="149">
          <cell r="B149">
            <v>434200000</v>
          </cell>
          <cell r="C149" t="str">
            <v>ACOMPTE PROVISIONNE</v>
          </cell>
          <cell r="D149">
            <v>0</v>
          </cell>
          <cell r="E149">
            <v>0</v>
          </cell>
          <cell r="F149">
            <v>0</v>
          </cell>
          <cell r="G149">
            <v>0</v>
          </cell>
          <cell r="H149">
            <v>0</v>
          </cell>
          <cell r="J149">
            <v>0</v>
          </cell>
          <cell r="K149">
            <v>0</v>
          </cell>
          <cell r="L149">
            <v>0</v>
          </cell>
          <cell r="M149">
            <v>0</v>
          </cell>
        </row>
        <row r="150">
          <cell r="B150">
            <v>434300000</v>
          </cell>
          <cell r="C150" t="str">
            <v>RETENUE SUR TVA</v>
          </cell>
          <cell r="D150">
            <v>0</v>
          </cell>
          <cell r="E150">
            <v>0</v>
          </cell>
          <cell r="F150">
            <v>377.41300000000001</v>
          </cell>
          <cell r="G150">
            <v>0</v>
          </cell>
          <cell r="H150">
            <v>377.41300000000001</v>
          </cell>
          <cell r="I150" t="str">
            <v>Autres actifs courants</v>
          </cell>
          <cell r="J150">
            <v>377.41300000000001</v>
          </cell>
          <cell r="K150">
            <v>0</v>
          </cell>
          <cell r="L150">
            <v>0</v>
          </cell>
          <cell r="M150">
            <v>377.41300000000001</v>
          </cell>
        </row>
        <row r="151">
          <cell r="B151">
            <v>434920000</v>
          </cell>
          <cell r="C151" t="str">
            <v>Actif d'impôts différés</v>
          </cell>
          <cell r="H151">
            <v>0</v>
          </cell>
          <cell r="I151" t="str">
            <v>Autres actifs courants</v>
          </cell>
          <cell r="J151">
            <v>0</v>
          </cell>
          <cell r="K151">
            <v>0</v>
          </cell>
          <cell r="L151">
            <v>0</v>
          </cell>
          <cell r="M151">
            <v>0</v>
          </cell>
        </row>
        <row r="152">
          <cell r="B152">
            <v>434930000</v>
          </cell>
          <cell r="C152" t="str">
            <v>Passif d'imôts différés</v>
          </cell>
          <cell r="H152">
            <v>0</v>
          </cell>
          <cell r="I152" t="str">
            <v>Autres passifs courants</v>
          </cell>
          <cell r="J152">
            <v>0</v>
          </cell>
          <cell r="K152">
            <v>0</v>
          </cell>
          <cell r="L152">
            <v>0</v>
          </cell>
          <cell r="M152">
            <v>0</v>
          </cell>
        </row>
        <row r="153">
          <cell r="B153">
            <v>435000000</v>
          </cell>
          <cell r="C153" t="str">
            <v>OBLIGATIONS CAUTION</v>
          </cell>
          <cell r="H153">
            <v>0</v>
          </cell>
          <cell r="J153">
            <v>0</v>
          </cell>
          <cell r="K153">
            <v>0</v>
          </cell>
          <cell r="L153">
            <v>0</v>
          </cell>
          <cell r="M153">
            <v>0</v>
          </cell>
        </row>
        <row r="154">
          <cell r="B154">
            <v>436000000</v>
          </cell>
          <cell r="C154" t="str">
            <v>ETAT TAXES SUR LE CA</v>
          </cell>
          <cell r="D154">
            <v>0.46899999678134918</v>
          </cell>
          <cell r="E154">
            <v>89454.010999999999</v>
          </cell>
          <cell r="F154">
            <v>135470.70499999999</v>
          </cell>
          <cell r="G154">
            <v>5254.5560000000014</v>
          </cell>
          <cell r="H154">
            <v>230179.74099999678</v>
          </cell>
          <cell r="I154" t="str">
            <v>Autres actifs courants</v>
          </cell>
          <cell r="J154">
            <v>230179.74099999678</v>
          </cell>
          <cell r="K154">
            <v>0</v>
          </cell>
          <cell r="L154">
            <v>0</v>
          </cell>
          <cell r="M154">
            <v>230179.74099999678</v>
          </cell>
        </row>
        <row r="155">
          <cell r="B155">
            <v>436250000</v>
          </cell>
          <cell r="C155" t="str">
            <v>FODEC</v>
          </cell>
          <cell r="D155">
            <v>2.0000000949949026E-3</v>
          </cell>
          <cell r="E155">
            <v>0</v>
          </cell>
          <cell r="F155">
            <v>0</v>
          </cell>
          <cell r="G155">
            <v>0</v>
          </cell>
          <cell r="H155">
            <v>2.0000000949949026E-3</v>
          </cell>
          <cell r="I155" t="str">
            <v>Autres passifs courants</v>
          </cell>
          <cell r="J155">
            <v>2.0000000949949026E-3</v>
          </cell>
          <cell r="K155">
            <v>0</v>
          </cell>
          <cell r="L155">
            <v>0</v>
          </cell>
          <cell r="M155">
            <v>2.0000000949949026E-3</v>
          </cell>
        </row>
        <row r="156">
          <cell r="B156">
            <v>436270000</v>
          </cell>
          <cell r="C156" t="str">
            <v>TPE</v>
          </cell>
          <cell r="D156">
            <v>1.2000001966953278E-2</v>
          </cell>
          <cell r="E156">
            <v>0</v>
          </cell>
          <cell r="F156">
            <v>0</v>
          </cell>
          <cell r="G156">
            <v>0</v>
          </cell>
          <cell r="H156">
            <v>1.2000001966953278E-2</v>
          </cell>
          <cell r="I156" t="str">
            <v>Autres actifs courants</v>
          </cell>
          <cell r="J156">
            <v>1.2000001966953278E-2</v>
          </cell>
          <cell r="K156">
            <v>0</v>
          </cell>
          <cell r="L156">
            <v>0</v>
          </cell>
          <cell r="M156">
            <v>1.2000001966953278E-2</v>
          </cell>
        </row>
        <row r="157">
          <cell r="B157">
            <v>436306000</v>
          </cell>
          <cell r="C157" t="str">
            <v>TVA RECUP B&amp;S LOC 06%</v>
          </cell>
          <cell r="H157">
            <v>0</v>
          </cell>
          <cell r="I157" t="str">
            <v>Autres actifs courants</v>
          </cell>
          <cell r="J157">
            <v>0</v>
          </cell>
          <cell r="K157">
            <v>0</v>
          </cell>
          <cell r="L157">
            <v>0</v>
          </cell>
          <cell r="M157">
            <v>0</v>
          </cell>
        </row>
        <row r="158">
          <cell r="B158">
            <v>436307000</v>
          </cell>
          <cell r="C158" t="str">
            <v>TVA RECUP B&amp;S LOC 07%</v>
          </cell>
          <cell r="D158">
            <v>0</v>
          </cell>
          <cell r="E158">
            <v>0</v>
          </cell>
          <cell r="F158">
            <v>0</v>
          </cell>
          <cell r="G158">
            <v>0</v>
          </cell>
          <cell r="H158">
            <v>0</v>
          </cell>
          <cell r="I158" t="str">
            <v>Autres actifs courants</v>
          </cell>
          <cell r="J158">
            <v>0</v>
          </cell>
          <cell r="K158">
            <v>0</v>
          </cell>
          <cell r="L158">
            <v>0</v>
          </cell>
          <cell r="M158">
            <v>0</v>
          </cell>
        </row>
        <row r="159">
          <cell r="B159">
            <v>436310000</v>
          </cell>
          <cell r="C159" t="str">
            <v>TVA RECUP B&amp;S LOC 10%</v>
          </cell>
          <cell r="H159">
            <v>0</v>
          </cell>
          <cell r="I159" t="str">
            <v>Autres actifs courants</v>
          </cell>
          <cell r="J159">
            <v>0</v>
          </cell>
          <cell r="K159">
            <v>0</v>
          </cell>
          <cell r="L159">
            <v>0</v>
          </cell>
          <cell r="M159">
            <v>0</v>
          </cell>
        </row>
        <row r="160">
          <cell r="B160">
            <v>436313000</v>
          </cell>
          <cell r="C160" t="str">
            <v>TVA RECUP B&amp;S LOC 13%</v>
          </cell>
          <cell r="D160">
            <v>0</v>
          </cell>
          <cell r="E160">
            <v>0</v>
          </cell>
          <cell r="F160">
            <v>0</v>
          </cell>
          <cell r="G160">
            <v>0</v>
          </cell>
          <cell r="H160">
            <v>0</v>
          </cell>
          <cell r="J160">
            <v>0</v>
          </cell>
          <cell r="K160">
            <v>0</v>
          </cell>
          <cell r="L160">
            <v>0</v>
          </cell>
          <cell r="M160">
            <v>0</v>
          </cell>
        </row>
        <row r="161">
          <cell r="B161">
            <v>436318000</v>
          </cell>
          <cell r="C161" t="str">
            <v>TVA RECUP B&amp;S LOC 18%</v>
          </cell>
          <cell r="F161">
            <v>0</v>
          </cell>
          <cell r="H161">
            <v>0</v>
          </cell>
          <cell r="I161" t="str">
            <v>Autres actifs courants</v>
          </cell>
          <cell r="J161">
            <v>0</v>
          </cell>
          <cell r="K161">
            <v>0</v>
          </cell>
          <cell r="L161">
            <v>0</v>
          </cell>
          <cell r="M161">
            <v>0</v>
          </cell>
        </row>
        <row r="162">
          <cell r="B162">
            <v>436319000</v>
          </cell>
          <cell r="C162" t="str">
            <v>TVA RECUP B&amp;S LOC 19%</v>
          </cell>
          <cell r="D162">
            <v>1772.2329999981448</v>
          </cell>
          <cell r="E162">
            <v>0</v>
          </cell>
          <cell r="F162">
            <v>-478.52800000000002</v>
          </cell>
          <cell r="G162">
            <v>0</v>
          </cell>
          <cell r="H162">
            <v>1293.7049999981448</v>
          </cell>
          <cell r="I162" t="str">
            <v>Autres actifs courants</v>
          </cell>
          <cell r="J162">
            <v>1293.7049999981448</v>
          </cell>
          <cell r="K162">
            <v>0</v>
          </cell>
          <cell r="L162">
            <v>0</v>
          </cell>
          <cell r="M162">
            <v>1293.7049999981448</v>
          </cell>
        </row>
        <row r="163">
          <cell r="B163">
            <v>436418000</v>
          </cell>
          <cell r="C163" t="str">
            <v>TVA RECUP B&amp;S IMP 18%</v>
          </cell>
          <cell r="H163">
            <v>0</v>
          </cell>
          <cell r="J163">
            <v>0</v>
          </cell>
          <cell r="K163">
            <v>0</v>
          </cell>
          <cell r="L163">
            <v>0</v>
          </cell>
          <cell r="M163">
            <v>0</v>
          </cell>
        </row>
        <row r="164">
          <cell r="B164">
            <v>436610000</v>
          </cell>
          <cell r="C164" t="str">
            <v>TVA RECUP IMMO IMP 10%</v>
          </cell>
          <cell r="H164">
            <v>0</v>
          </cell>
          <cell r="J164">
            <v>0</v>
          </cell>
          <cell r="K164">
            <v>0</v>
          </cell>
          <cell r="L164">
            <v>0</v>
          </cell>
          <cell r="M164">
            <v>0</v>
          </cell>
        </row>
        <row r="165">
          <cell r="B165">
            <v>436618000</v>
          </cell>
          <cell r="C165" t="str">
            <v>TVA RECUP IMMO IMP 18%</v>
          </cell>
          <cell r="H165">
            <v>0</v>
          </cell>
          <cell r="J165">
            <v>0</v>
          </cell>
          <cell r="K165">
            <v>0</v>
          </cell>
          <cell r="L165">
            <v>0</v>
          </cell>
          <cell r="M165">
            <v>0</v>
          </cell>
        </row>
        <row r="166">
          <cell r="B166">
            <v>436710000</v>
          </cell>
          <cell r="C166" t="str">
            <v>TVA COLLECTEE</v>
          </cell>
          <cell r="D166">
            <v>0</v>
          </cell>
          <cell r="E166">
            <v>0</v>
          </cell>
          <cell r="F166">
            <v>0</v>
          </cell>
          <cell r="G166">
            <v>0</v>
          </cell>
          <cell r="H166">
            <v>0</v>
          </cell>
          <cell r="I166" t="str">
            <v>Autres passifs courants</v>
          </cell>
          <cell r="J166">
            <v>0</v>
          </cell>
          <cell r="K166">
            <v>0</v>
          </cell>
          <cell r="L166">
            <v>0</v>
          </cell>
          <cell r="M166">
            <v>0</v>
          </cell>
        </row>
        <row r="167">
          <cell r="B167">
            <v>437000000</v>
          </cell>
          <cell r="C167" t="str">
            <v>AUT.IMP.TAXE&amp;VERSE.AS</v>
          </cell>
          <cell r="D167">
            <v>-0.60000000000000142</v>
          </cell>
          <cell r="E167">
            <v>-0.59999999999999987</v>
          </cell>
          <cell r="F167">
            <v>0</v>
          </cell>
          <cell r="G167">
            <v>0</v>
          </cell>
          <cell r="H167">
            <v>-1.2000000000000013</v>
          </cell>
          <cell r="I167" t="str">
            <v>Autres passifs courants</v>
          </cell>
          <cell r="J167">
            <v>-1.2000000000000013</v>
          </cell>
          <cell r="K167">
            <v>0</v>
          </cell>
          <cell r="L167">
            <v>0</v>
          </cell>
          <cell r="M167">
            <v>-1.2000000000000013</v>
          </cell>
        </row>
        <row r="168">
          <cell r="B168">
            <v>437200000</v>
          </cell>
          <cell r="C168" t="str">
            <v>ETAT TFP/FOPROLOS</v>
          </cell>
          <cell r="H168">
            <v>0</v>
          </cell>
          <cell r="J168">
            <v>0</v>
          </cell>
          <cell r="K168">
            <v>0</v>
          </cell>
          <cell r="L168">
            <v>0</v>
          </cell>
          <cell r="M168">
            <v>0</v>
          </cell>
        </row>
        <row r="169">
          <cell r="B169">
            <v>437560000</v>
          </cell>
          <cell r="C169" t="str">
            <v>IMPOTS ET TAXES A PAYER</v>
          </cell>
          <cell r="H169">
            <v>0</v>
          </cell>
          <cell r="J169">
            <v>0</v>
          </cell>
          <cell r="K169">
            <v>0</v>
          </cell>
          <cell r="L169">
            <v>0</v>
          </cell>
          <cell r="M169">
            <v>0</v>
          </cell>
        </row>
        <row r="170">
          <cell r="B170">
            <v>441000000</v>
          </cell>
          <cell r="C170" t="str">
            <v>SOCIETES DU GROUPE</v>
          </cell>
          <cell r="H170">
            <v>0</v>
          </cell>
          <cell r="J170">
            <v>0</v>
          </cell>
          <cell r="K170">
            <v>0</v>
          </cell>
          <cell r="L170">
            <v>0</v>
          </cell>
          <cell r="M170">
            <v>0</v>
          </cell>
        </row>
        <row r="171">
          <cell r="B171">
            <v>441010000</v>
          </cell>
          <cell r="C171" t="str">
            <v>Ste du groupe</v>
          </cell>
          <cell r="D171">
            <v>0</v>
          </cell>
          <cell r="E171">
            <v>0</v>
          </cell>
          <cell r="F171">
            <v>0</v>
          </cell>
          <cell r="G171">
            <v>0</v>
          </cell>
          <cell r="H171">
            <v>0</v>
          </cell>
          <cell r="I171" t="str">
            <v>Autres actifs courants</v>
          </cell>
          <cell r="J171">
            <v>0</v>
          </cell>
          <cell r="K171">
            <v>0</v>
          </cell>
          <cell r="L171">
            <v>0</v>
          </cell>
          <cell r="M171">
            <v>0</v>
          </cell>
        </row>
        <row r="172">
          <cell r="B172">
            <v>441980000</v>
          </cell>
          <cell r="C172" t="str">
            <v>CPTE GROUPE SNA</v>
          </cell>
          <cell r="D172">
            <v>0</v>
          </cell>
          <cell r="E172">
            <v>0</v>
          </cell>
          <cell r="F172">
            <v>0</v>
          </cell>
          <cell r="G172">
            <v>842400</v>
          </cell>
          <cell r="H172">
            <v>842400</v>
          </cell>
          <cell r="I172" t="str">
            <v>Autres actifs courants</v>
          </cell>
          <cell r="J172">
            <v>842400</v>
          </cell>
          <cell r="K172">
            <v>0</v>
          </cell>
          <cell r="L172">
            <v>842400</v>
          </cell>
          <cell r="M172">
            <v>0</v>
          </cell>
        </row>
        <row r="173">
          <cell r="B173">
            <v>442000000</v>
          </cell>
          <cell r="C173" t="str">
            <v>ASSOCIES/COMPTE.COUR</v>
          </cell>
          <cell r="D173">
            <v>0</v>
          </cell>
          <cell r="E173">
            <v>-110000</v>
          </cell>
          <cell r="F173">
            <v>0</v>
          </cell>
          <cell r="G173">
            <v>0</v>
          </cell>
          <cell r="H173">
            <v>-110000</v>
          </cell>
          <cell r="I173" t="str">
            <v>Autres passifs courants</v>
          </cell>
          <cell r="J173">
            <v>-110000</v>
          </cell>
          <cell r="K173">
            <v>0</v>
          </cell>
          <cell r="L173">
            <v>0</v>
          </cell>
          <cell r="M173">
            <v>-110000</v>
          </cell>
        </row>
        <row r="174">
          <cell r="B174">
            <v>442010000</v>
          </cell>
          <cell r="C174" t="str">
            <v>Associe cpte courant</v>
          </cell>
          <cell r="H174">
            <v>0</v>
          </cell>
          <cell r="I174" t="str">
            <v>Autres passifs courants</v>
          </cell>
          <cell r="J174">
            <v>0</v>
          </cell>
          <cell r="K174">
            <v>0</v>
          </cell>
          <cell r="L174">
            <v>0</v>
          </cell>
          <cell r="M174">
            <v>0</v>
          </cell>
        </row>
        <row r="175">
          <cell r="B175">
            <v>442020000</v>
          </cell>
          <cell r="C175" t="str">
            <v>PHENICIA SECAR</v>
          </cell>
          <cell r="H175">
            <v>0</v>
          </cell>
          <cell r="J175">
            <v>0</v>
          </cell>
          <cell r="K175">
            <v>0</v>
          </cell>
          <cell r="L175">
            <v>0</v>
          </cell>
          <cell r="M175">
            <v>0</v>
          </cell>
        </row>
        <row r="176">
          <cell r="B176">
            <v>442030000</v>
          </cell>
          <cell r="C176" t="str">
            <v>COPTE COURANT STA NOUR</v>
          </cell>
          <cell r="H176">
            <v>0</v>
          </cell>
          <cell r="J176">
            <v>0</v>
          </cell>
          <cell r="K176">
            <v>0</v>
          </cell>
          <cell r="L176">
            <v>0</v>
          </cell>
          <cell r="M176">
            <v>0</v>
          </cell>
        </row>
        <row r="177">
          <cell r="B177">
            <v>442040000</v>
          </cell>
          <cell r="C177" t="str">
            <v>COMPTE COURANT ITN</v>
          </cell>
          <cell r="H177">
            <v>0</v>
          </cell>
          <cell r="J177">
            <v>0</v>
          </cell>
          <cell r="K177">
            <v>0</v>
          </cell>
          <cell r="L177">
            <v>0</v>
          </cell>
          <cell r="M177">
            <v>0</v>
          </cell>
        </row>
        <row r="178">
          <cell r="B178">
            <v>442050000</v>
          </cell>
          <cell r="C178" t="str">
            <v>COMPTE COURANT EL HANAYA</v>
          </cell>
          <cell r="H178">
            <v>0</v>
          </cell>
          <cell r="J178">
            <v>0</v>
          </cell>
          <cell r="K178">
            <v>0</v>
          </cell>
          <cell r="L178">
            <v>0</v>
          </cell>
          <cell r="M178">
            <v>0</v>
          </cell>
        </row>
        <row r="179">
          <cell r="B179">
            <v>442060000</v>
          </cell>
          <cell r="C179" t="str">
            <v>COMPTE COURANT TIP</v>
          </cell>
          <cell r="D179">
            <v>-842400</v>
          </cell>
          <cell r="E179">
            <v>0</v>
          </cell>
          <cell r="F179">
            <v>0</v>
          </cell>
          <cell r="G179">
            <v>0</v>
          </cell>
          <cell r="H179">
            <v>-842400</v>
          </cell>
          <cell r="I179" t="str">
            <v>Autres passifs courants</v>
          </cell>
          <cell r="J179">
            <v>-842400</v>
          </cell>
          <cell r="K179">
            <v>842400</v>
          </cell>
          <cell r="L179">
            <v>0</v>
          </cell>
          <cell r="M179">
            <v>0</v>
          </cell>
        </row>
        <row r="180">
          <cell r="B180">
            <v>442070000</v>
          </cell>
          <cell r="C180" t="str">
            <v>CPTE COUR.NOUR HEMPE BAT</v>
          </cell>
          <cell r="H180">
            <v>0</v>
          </cell>
          <cell r="J180">
            <v>0</v>
          </cell>
          <cell r="K180">
            <v>0</v>
          </cell>
          <cell r="L180">
            <v>0</v>
          </cell>
          <cell r="M180">
            <v>0</v>
          </cell>
        </row>
        <row r="181">
          <cell r="B181">
            <v>442100000</v>
          </cell>
          <cell r="C181" t="str">
            <v>PRINCIPAL</v>
          </cell>
          <cell r="H181">
            <v>0</v>
          </cell>
          <cell r="J181">
            <v>0</v>
          </cell>
          <cell r="K181">
            <v>0</v>
          </cell>
          <cell r="L181">
            <v>0</v>
          </cell>
          <cell r="M181">
            <v>0</v>
          </cell>
        </row>
        <row r="182">
          <cell r="B182">
            <v>446000000</v>
          </cell>
          <cell r="C182" t="str">
            <v>ASSOC.OPERA.SUR.CAP</v>
          </cell>
          <cell r="H182">
            <v>0</v>
          </cell>
          <cell r="J182">
            <v>0</v>
          </cell>
          <cell r="K182">
            <v>0</v>
          </cell>
          <cell r="L182">
            <v>0</v>
          </cell>
          <cell r="M182">
            <v>0</v>
          </cell>
        </row>
        <row r="183">
          <cell r="B183">
            <v>447000000</v>
          </cell>
          <cell r="C183" t="str">
            <v>ASSOC.DIVIDENDES A.PA</v>
          </cell>
          <cell r="D183">
            <v>-2.3283064365386963E-10</v>
          </cell>
          <cell r="E183">
            <v>0</v>
          </cell>
          <cell r="F183">
            <v>0</v>
          </cell>
          <cell r="G183">
            <v>0</v>
          </cell>
          <cell r="H183">
            <v>-2.3283064365386963E-10</v>
          </cell>
          <cell r="I183" t="str">
            <v>Autres passifs courants</v>
          </cell>
          <cell r="J183">
            <v>-2.3283064365386963E-10</v>
          </cell>
          <cell r="K183">
            <v>0</v>
          </cell>
          <cell r="L183">
            <v>0</v>
          </cell>
          <cell r="M183">
            <v>-2.3283064365386963E-10</v>
          </cell>
        </row>
        <row r="184">
          <cell r="B184">
            <v>450000000</v>
          </cell>
          <cell r="C184" t="str">
            <v>DEBITEURS CRED.DIV.</v>
          </cell>
          <cell r="D184">
            <v>-12700</v>
          </cell>
          <cell r="E184">
            <v>0</v>
          </cell>
          <cell r="F184">
            <v>0</v>
          </cell>
          <cell r="G184">
            <v>0</v>
          </cell>
          <cell r="H184">
            <v>-12700</v>
          </cell>
          <cell r="I184" t="str">
            <v>Autres actifs courants</v>
          </cell>
          <cell r="J184">
            <v>-12700</v>
          </cell>
          <cell r="K184">
            <v>0</v>
          </cell>
          <cell r="L184">
            <v>0</v>
          </cell>
          <cell r="M184">
            <v>-12700</v>
          </cell>
        </row>
        <row r="185">
          <cell r="B185">
            <v>450000010</v>
          </cell>
          <cell r="C185" t="str">
            <v>DEBITEURS CRED.DIV.(CIL)</v>
          </cell>
          <cell r="H185">
            <v>0</v>
          </cell>
          <cell r="J185">
            <v>0</v>
          </cell>
          <cell r="K185">
            <v>0</v>
          </cell>
          <cell r="L185">
            <v>0</v>
          </cell>
          <cell r="M185">
            <v>0</v>
          </cell>
        </row>
        <row r="186">
          <cell r="B186">
            <v>450000020</v>
          </cell>
          <cell r="C186" t="str">
            <v>TOM HEMPE</v>
          </cell>
          <cell r="H186">
            <v>0</v>
          </cell>
          <cell r="J186">
            <v>0</v>
          </cell>
          <cell r="K186">
            <v>0</v>
          </cell>
          <cell r="L186">
            <v>0</v>
          </cell>
          <cell r="M186">
            <v>0</v>
          </cell>
        </row>
        <row r="187">
          <cell r="B187">
            <v>450000030</v>
          </cell>
          <cell r="C187" t="str">
            <v>LUCA ALBERTO BUTTI</v>
          </cell>
          <cell r="H187">
            <v>0</v>
          </cell>
          <cell r="J187">
            <v>0</v>
          </cell>
          <cell r="K187">
            <v>0</v>
          </cell>
          <cell r="L187">
            <v>0</v>
          </cell>
          <cell r="M187">
            <v>0</v>
          </cell>
        </row>
        <row r="188">
          <cell r="B188">
            <v>452000000</v>
          </cell>
          <cell r="C188" t="str">
            <v>CREAN.SUR CESS.D'IMM</v>
          </cell>
          <cell r="D188">
            <v>0</v>
          </cell>
          <cell r="E188">
            <v>0</v>
          </cell>
          <cell r="F188">
            <v>0</v>
          </cell>
          <cell r="G188">
            <v>0</v>
          </cell>
          <cell r="H188">
            <v>0</v>
          </cell>
          <cell r="I188" t="str">
            <v>Autres actifs courants</v>
          </cell>
          <cell r="J188">
            <v>0</v>
          </cell>
          <cell r="K188">
            <v>0</v>
          </cell>
          <cell r="L188">
            <v>0</v>
          </cell>
          <cell r="M188">
            <v>0</v>
          </cell>
        </row>
        <row r="189">
          <cell r="B189">
            <v>453100000</v>
          </cell>
          <cell r="C189" t="str">
            <v>C.N.S.S.</v>
          </cell>
          <cell r="D189">
            <v>-158826.65800000029</v>
          </cell>
          <cell r="E189">
            <v>-2895.6159999999986</v>
          </cell>
          <cell r="F189">
            <v>-50530.945</v>
          </cell>
          <cell r="G189">
            <v>-3519.074000000001</v>
          </cell>
          <cell r="H189">
            <v>-215772.2930000003</v>
          </cell>
          <cell r="I189" t="str">
            <v>Autres passifs courants</v>
          </cell>
          <cell r="J189">
            <v>-215772.2930000003</v>
          </cell>
          <cell r="K189">
            <v>0</v>
          </cell>
          <cell r="L189">
            <v>0</v>
          </cell>
          <cell r="M189">
            <v>-215772.2930000003</v>
          </cell>
        </row>
        <row r="190">
          <cell r="B190">
            <v>457000000</v>
          </cell>
          <cell r="C190" t="str">
            <v>AUTRES DEBI.CREDI.DIV</v>
          </cell>
          <cell r="D190">
            <v>825876</v>
          </cell>
          <cell r="E190">
            <v>0</v>
          </cell>
          <cell r="F190">
            <v>12169.971</v>
          </cell>
          <cell r="G190">
            <v>0</v>
          </cell>
          <cell r="H190">
            <v>838045.97100000002</v>
          </cell>
          <cell r="I190" t="str">
            <v>Autres actifs courants</v>
          </cell>
          <cell r="J190">
            <v>838045.97100000002</v>
          </cell>
          <cell r="K190">
            <v>0</v>
          </cell>
          <cell r="L190">
            <v>0</v>
          </cell>
          <cell r="M190">
            <v>838045.97100000002</v>
          </cell>
        </row>
        <row r="191">
          <cell r="B191">
            <v>457100000</v>
          </cell>
          <cell r="C191" t="str">
            <v>PRETS CNSS</v>
          </cell>
          <cell r="D191">
            <v>0</v>
          </cell>
          <cell r="E191">
            <v>1282.617</v>
          </cell>
          <cell r="F191">
            <v>-142.303</v>
          </cell>
          <cell r="G191">
            <v>0</v>
          </cell>
          <cell r="H191">
            <v>1140.3139999999999</v>
          </cell>
          <cell r="I191" t="str">
            <v>Autres actifs courants</v>
          </cell>
          <cell r="J191">
            <v>1140.3139999999999</v>
          </cell>
          <cell r="K191">
            <v>0</v>
          </cell>
          <cell r="L191">
            <v>0</v>
          </cell>
          <cell r="M191">
            <v>1140.3139999999999</v>
          </cell>
        </row>
        <row r="192">
          <cell r="B192">
            <v>458600000</v>
          </cell>
          <cell r="C192" t="str">
            <v>CHARGES A PAYER</v>
          </cell>
          <cell r="D192">
            <v>-330699.78099999961</v>
          </cell>
          <cell r="E192">
            <v>-1076.414</v>
          </cell>
          <cell r="F192">
            <v>-25858.563999999998</v>
          </cell>
          <cell r="G192">
            <v>-1729.1790000000001</v>
          </cell>
          <cell r="H192">
            <v>-359363.93799999962</v>
          </cell>
          <cell r="I192" t="str">
            <v>Autres passifs courants</v>
          </cell>
          <cell r="J192">
            <v>-359363.93799999962</v>
          </cell>
          <cell r="K192">
            <v>55000</v>
          </cell>
          <cell r="L192">
            <v>0</v>
          </cell>
          <cell r="M192">
            <v>-304363.93799999962</v>
          </cell>
        </row>
        <row r="193">
          <cell r="B193">
            <v>458700000</v>
          </cell>
          <cell r="C193" t="str">
            <v>PRODUITS A RECEVOIR</v>
          </cell>
          <cell r="D193">
            <v>0</v>
          </cell>
          <cell r="E193">
            <v>0</v>
          </cell>
          <cell r="F193">
            <v>55000</v>
          </cell>
          <cell r="G193">
            <v>0</v>
          </cell>
          <cell r="H193">
            <v>55000</v>
          </cell>
          <cell r="I193" t="str">
            <v>Autres actifs courants</v>
          </cell>
          <cell r="J193">
            <v>55000</v>
          </cell>
          <cell r="K193">
            <v>0</v>
          </cell>
          <cell r="L193">
            <v>55000</v>
          </cell>
          <cell r="M193">
            <v>0</v>
          </cell>
        </row>
        <row r="194">
          <cell r="B194">
            <v>461000000</v>
          </cell>
          <cell r="C194" t="str">
            <v>COMPTES D'ATTENTE</v>
          </cell>
          <cell r="D194">
            <v>0</v>
          </cell>
          <cell r="E194">
            <v>0</v>
          </cell>
          <cell r="F194">
            <v>0</v>
          </cell>
          <cell r="G194">
            <v>0</v>
          </cell>
          <cell r="H194">
            <v>0</v>
          </cell>
          <cell r="J194">
            <v>0</v>
          </cell>
          <cell r="K194">
            <v>0</v>
          </cell>
          <cell r="L194">
            <v>0</v>
          </cell>
          <cell r="M194">
            <v>0</v>
          </cell>
        </row>
        <row r="195">
          <cell r="B195">
            <v>468000000</v>
          </cell>
          <cell r="C195" t="str">
            <v>Autres comptes transit</v>
          </cell>
          <cell r="D195">
            <v>0</v>
          </cell>
          <cell r="E195">
            <v>0</v>
          </cell>
          <cell r="F195">
            <v>0</v>
          </cell>
          <cell r="G195">
            <v>0</v>
          </cell>
          <cell r="H195">
            <v>0</v>
          </cell>
          <cell r="J195">
            <v>0</v>
          </cell>
          <cell r="K195">
            <v>0</v>
          </cell>
          <cell r="L195">
            <v>0</v>
          </cell>
          <cell r="M195">
            <v>0</v>
          </cell>
        </row>
        <row r="196">
          <cell r="B196">
            <v>471000000</v>
          </cell>
          <cell r="C196" t="str">
            <v>CHARGES CONS.D'AVAN</v>
          </cell>
          <cell r="D196">
            <v>151614.02684600002</v>
          </cell>
          <cell r="E196">
            <v>0</v>
          </cell>
          <cell r="F196">
            <v>37664.228000000003</v>
          </cell>
          <cell r="G196">
            <v>0</v>
          </cell>
          <cell r="H196">
            <v>189278.25484600003</v>
          </cell>
          <cell r="I196" t="str">
            <v>Autres actifs courants</v>
          </cell>
          <cell r="J196">
            <v>189278.25484600003</v>
          </cell>
          <cell r="K196">
            <v>0</v>
          </cell>
          <cell r="L196">
            <v>0</v>
          </cell>
          <cell r="M196">
            <v>189278.25484600003</v>
          </cell>
        </row>
        <row r="197">
          <cell r="B197">
            <v>472000000</v>
          </cell>
          <cell r="C197" t="str">
            <v>PRODUITS CONST.D'AVA</v>
          </cell>
          <cell r="H197">
            <v>0</v>
          </cell>
          <cell r="J197">
            <v>0</v>
          </cell>
          <cell r="K197">
            <v>0</v>
          </cell>
          <cell r="L197">
            <v>0</v>
          </cell>
          <cell r="M197">
            <v>0</v>
          </cell>
        </row>
        <row r="198">
          <cell r="B198">
            <v>480000000</v>
          </cell>
          <cell r="C198" t="str">
            <v xml:space="preserve">provision pour risques et chrages </v>
          </cell>
          <cell r="H198">
            <v>0</v>
          </cell>
          <cell r="J198">
            <v>0</v>
          </cell>
          <cell r="K198">
            <v>0</v>
          </cell>
          <cell r="L198">
            <v>0</v>
          </cell>
          <cell r="M198">
            <v>0</v>
          </cell>
        </row>
        <row r="199">
          <cell r="B199">
            <v>490000000</v>
          </cell>
          <cell r="C199" t="str">
            <v>PRO.P.DEPR.DES.COM.T</v>
          </cell>
          <cell r="D199">
            <v>0</v>
          </cell>
          <cell r="E199">
            <v>0</v>
          </cell>
          <cell r="F199">
            <v>-7169.9709999999995</v>
          </cell>
          <cell r="G199">
            <v>0</v>
          </cell>
          <cell r="H199">
            <v>-7169.9709999999995</v>
          </cell>
          <cell r="I199" t="str">
            <v>Provisions actifs courants</v>
          </cell>
          <cell r="J199">
            <v>-7169.9709999999995</v>
          </cell>
          <cell r="K199">
            <v>0</v>
          </cell>
          <cell r="L199">
            <v>0</v>
          </cell>
          <cell r="M199">
            <v>-7169.9709999999995</v>
          </cell>
        </row>
        <row r="200">
          <cell r="B200">
            <v>491000000</v>
          </cell>
          <cell r="C200" t="str">
            <v>PROV.P.DEP.DS.COM.CLI</v>
          </cell>
          <cell r="D200">
            <v>-455807.89000000025</v>
          </cell>
          <cell r="E200">
            <v>0</v>
          </cell>
          <cell r="F200">
            <v>-672064.19900000002</v>
          </cell>
          <cell r="G200">
            <v>0</v>
          </cell>
          <cell r="H200">
            <v>-1127872.0890000002</v>
          </cell>
          <cell r="I200" t="str">
            <v>Provisions clients</v>
          </cell>
          <cell r="J200">
            <v>-1127872.0890000002</v>
          </cell>
          <cell r="K200">
            <v>0</v>
          </cell>
          <cell r="L200">
            <v>0</v>
          </cell>
          <cell r="M200">
            <v>-1127872.0890000002</v>
          </cell>
        </row>
        <row r="201">
          <cell r="B201">
            <v>495000000</v>
          </cell>
          <cell r="C201" t="str">
            <v>PROV sur cpte frs débiteurs</v>
          </cell>
          <cell r="D201">
            <v>0</v>
          </cell>
          <cell r="E201">
            <v>-22189.875</v>
          </cell>
          <cell r="F201">
            <v>0</v>
          </cell>
          <cell r="G201">
            <v>0</v>
          </cell>
          <cell r="H201">
            <v>-22189.875</v>
          </cell>
          <cell r="I201" t="str">
            <v>Provisions actifs courants</v>
          </cell>
          <cell r="J201">
            <v>-22189.875</v>
          </cell>
          <cell r="K201">
            <v>0</v>
          </cell>
          <cell r="L201">
            <v>0</v>
          </cell>
          <cell r="M201">
            <v>-22189.875</v>
          </cell>
        </row>
        <row r="202">
          <cell r="B202">
            <v>496000000</v>
          </cell>
          <cell r="C202" t="str">
            <v>PROV.DEP.COM.DEB.DIV</v>
          </cell>
          <cell r="D202">
            <v>-223419.68500000014</v>
          </cell>
          <cell r="E202">
            <v>-7453.63</v>
          </cell>
          <cell r="F202">
            <v>0</v>
          </cell>
          <cell r="G202">
            <v>0</v>
          </cell>
          <cell r="H202">
            <v>-230873.31500000015</v>
          </cell>
          <cell r="I202" t="str">
            <v>Provisions actifs courants</v>
          </cell>
          <cell r="J202">
            <v>-230873.31500000015</v>
          </cell>
          <cell r="K202">
            <v>0</v>
          </cell>
          <cell r="L202">
            <v>0</v>
          </cell>
          <cell r="M202">
            <v>-230873.31500000015</v>
          </cell>
        </row>
        <row r="203">
          <cell r="B203">
            <v>501300000</v>
          </cell>
          <cell r="C203" t="str">
            <v>FINANCEMENT DE STOCK</v>
          </cell>
          <cell r="D203">
            <v>-3700000</v>
          </cell>
          <cell r="E203">
            <v>0</v>
          </cell>
          <cell r="F203">
            <v>0</v>
          </cell>
          <cell r="G203">
            <v>0</v>
          </cell>
          <cell r="H203">
            <v>-3700000</v>
          </cell>
          <cell r="I203" t="str">
            <v>Concours bancaires &amp; autres passifs financiers</v>
          </cell>
          <cell r="J203">
            <v>-3700000</v>
          </cell>
          <cell r="K203">
            <v>0</v>
          </cell>
          <cell r="L203">
            <v>0</v>
          </cell>
          <cell r="M203">
            <v>-3700000</v>
          </cell>
        </row>
        <row r="204">
          <cell r="B204">
            <v>501400000</v>
          </cell>
          <cell r="C204" t="str">
            <v>PREFINACEM.EXPORTAT.</v>
          </cell>
          <cell r="D204">
            <v>-4000000</v>
          </cell>
          <cell r="E204">
            <v>0</v>
          </cell>
          <cell r="F204">
            <v>0</v>
          </cell>
          <cell r="G204">
            <v>0</v>
          </cell>
          <cell r="H204">
            <v>-4000000</v>
          </cell>
          <cell r="I204" t="str">
            <v>Concours bancaires &amp; autres passifs financiers</v>
          </cell>
          <cell r="J204">
            <v>-4000000</v>
          </cell>
          <cell r="K204">
            <v>0</v>
          </cell>
          <cell r="L204">
            <v>0</v>
          </cell>
          <cell r="M204">
            <v>-4000000</v>
          </cell>
        </row>
        <row r="205">
          <cell r="B205">
            <v>505000000</v>
          </cell>
          <cell r="C205" t="str">
            <v>ECH.A.MOI.D'AN/EM.N.C</v>
          </cell>
          <cell r="D205">
            <v>-1208333.3329999999</v>
          </cell>
          <cell r="E205">
            <v>0</v>
          </cell>
          <cell r="F205">
            <v>0</v>
          </cell>
          <cell r="G205">
            <v>0</v>
          </cell>
          <cell r="H205">
            <v>-1208333.3329999999</v>
          </cell>
          <cell r="I205" t="str">
            <v>Concours bancaires &amp; autres passifs financiers</v>
          </cell>
          <cell r="J205">
            <v>-1208333.3329999999</v>
          </cell>
          <cell r="K205">
            <v>0</v>
          </cell>
          <cell r="L205">
            <v>0</v>
          </cell>
          <cell r="M205">
            <v>-1208333.3329999999</v>
          </cell>
        </row>
        <row r="206">
          <cell r="B206">
            <v>505150000</v>
          </cell>
          <cell r="C206" t="str">
            <v>ECH.A.MOI.D'AN/LEASING</v>
          </cell>
          <cell r="D206">
            <v>1.2187229003757238E-10</v>
          </cell>
          <cell r="E206">
            <v>0</v>
          </cell>
          <cell r="F206">
            <v>0</v>
          </cell>
          <cell r="G206">
            <v>4.999999999654392E-3</v>
          </cell>
          <cell r="H206">
            <v>5.0000001215266821E-3</v>
          </cell>
          <cell r="I206" t="str">
            <v>Concours bancaires &amp; autres passifs financiers</v>
          </cell>
          <cell r="J206">
            <v>5.0000001215266821E-3</v>
          </cell>
          <cell r="K206">
            <v>0</v>
          </cell>
          <cell r="L206">
            <v>0</v>
          </cell>
          <cell r="M206">
            <v>5.0000001215266821E-3</v>
          </cell>
        </row>
        <row r="207">
          <cell r="B207">
            <v>506101000</v>
          </cell>
          <cell r="C207" t="str">
            <v>BILLET DE TRESORERIE</v>
          </cell>
          <cell r="H207">
            <v>0</v>
          </cell>
          <cell r="J207">
            <v>0</v>
          </cell>
          <cell r="K207">
            <v>0</v>
          </cell>
          <cell r="L207">
            <v>0</v>
          </cell>
          <cell r="M207">
            <v>0</v>
          </cell>
        </row>
        <row r="208">
          <cell r="B208">
            <v>506109000</v>
          </cell>
          <cell r="C208" t="str">
            <v>CREDIT GSM</v>
          </cell>
          <cell r="H208">
            <v>0</v>
          </cell>
          <cell r="J208">
            <v>0</v>
          </cell>
          <cell r="K208">
            <v>0</v>
          </cell>
          <cell r="L208">
            <v>0</v>
          </cell>
          <cell r="M208">
            <v>0</v>
          </cell>
        </row>
        <row r="209">
          <cell r="B209">
            <v>506300000</v>
          </cell>
          <cell r="C209" t="str">
            <v>MCNE</v>
          </cell>
          <cell r="H209">
            <v>0</v>
          </cell>
          <cell r="J209">
            <v>0</v>
          </cell>
          <cell r="K209">
            <v>0</v>
          </cell>
          <cell r="L209">
            <v>0</v>
          </cell>
          <cell r="M209">
            <v>0</v>
          </cell>
        </row>
        <row r="210">
          <cell r="B210">
            <v>508000000</v>
          </cell>
          <cell r="C210" t="str">
            <v>INTERET COURUS</v>
          </cell>
          <cell r="D210">
            <v>-33175.014999999999</v>
          </cell>
          <cell r="E210">
            <v>0</v>
          </cell>
          <cell r="F210">
            <v>0</v>
          </cell>
          <cell r="G210">
            <v>0</v>
          </cell>
          <cell r="H210">
            <v>-33175.014999999999</v>
          </cell>
          <cell r="I210" t="str">
            <v>Concours bancaires &amp; autres passifs financiers</v>
          </cell>
          <cell r="J210">
            <v>-33175.014999999999</v>
          </cell>
          <cell r="K210">
            <v>0</v>
          </cell>
          <cell r="L210">
            <v>0</v>
          </cell>
          <cell r="M210">
            <v>-33175.014999999999</v>
          </cell>
        </row>
        <row r="211">
          <cell r="B211">
            <v>520000000</v>
          </cell>
          <cell r="C211" t="str">
            <v>PLACEMENT COURANT</v>
          </cell>
          <cell r="H211">
            <v>0</v>
          </cell>
          <cell r="J211">
            <v>0</v>
          </cell>
          <cell r="K211">
            <v>0</v>
          </cell>
          <cell r="L211">
            <v>0</v>
          </cell>
          <cell r="M211">
            <v>0</v>
          </cell>
        </row>
        <row r="212">
          <cell r="B212">
            <v>520011000</v>
          </cell>
          <cell r="C212" t="str">
            <v>PLACEM.BIL.DE TRES.</v>
          </cell>
          <cell r="H212">
            <v>0</v>
          </cell>
          <cell r="J212">
            <v>0</v>
          </cell>
          <cell r="K212">
            <v>0</v>
          </cell>
          <cell r="L212">
            <v>0</v>
          </cell>
          <cell r="M212">
            <v>0</v>
          </cell>
        </row>
        <row r="213">
          <cell r="B213">
            <v>530000000</v>
          </cell>
          <cell r="C213" t="str">
            <v>BANQ.ETAB.FINA.ASSIM</v>
          </cell>
          <cell r="H213">
            <v>0</v>
          </cell>
          <cell r="J213">
            <v>0</v>
          </cell>
          <cell r="K213">
            <v>0</v>
          </cell>
          <cell r="L213">
            <v>0</v>
          </cell>
          <cell r="M213">
            <v>0</v>
          </cell>
        </row>
        <row r="214">
          <cell r="B214">
            <v>531300000</v>
          </cell>
          <cell r="C214" t="str">
            <v>EFFETS A L'ENCAISSEM.</v>
          </cell>
          <cell r="D214">
            <v>0</v>
          </cell>
          <cell r="E214">
            <v>0</v>
          </cell>
          <cell r="F214">
            <v>4596.1369999999997</v>
          </cell>
          <cell r="G214">
            <v>0</v>
          </cell>
          <cell r="H214">
            <v>4596.1369999999997</v>
          </cell>
          <cell r="I214" t="str">
            <v>Liquidités et équivalents de liquidités</v>
          </cell>
          <cell r="J214">
            <v>4596.1369999999997</v>
          </cell>
          <cell r="K214">
            <v>0</v>
          </cell>
          <cell r="L214">
            <v>0</v>
          </cell>
          <cell r="M214">
            <v>4596.1369999999997</v>
          </cell>
        </row>
        <row r="215">
          <cell r="B215">
            <v>531400000</v>
          </cell>
          <cell r="C215" t="str">
            <v>EFFETS A L'ESCOMPTE</v>
          </cell>
          <cell r="D215">
            <v>0</v>
          </cell>
          <cell r="E215">
            <v>0</v>
          </cell>
          <cell r="F215">
            <v>0</v>
          </cell>
          <cell r="G215">
            <v>0</v>
          </cell>
          <cell r="H215">
            <v>0</v>
          </cell>
          <cell r="J215">
            <v>0</v>
          </cell>
          <cell r="K215">
            <v>0</v>
          </cell>
          <cell r="L215">
            <v>0</v>
          </cell>
          <cell r="M215">
            <v>0</v>
          </cell>
        </row>
        <row r="216">
          <cell r="B216">
            <v>532000000</v>
          </cell>
          <cell r="C216" t="str">
            <v>BANQUES</v>
          </cell>
          <cell r="D216">
            <v>7.4505805969238281E-9</v>
          </cell>
          <cell r="E216">
            <v>0</v>
          </cell>
          <cell r="F216">
            <v>4884194.3279999997</v>
          </cell>
          <cell r="G216">
            <v>0</v>
          </cell>
          <cell r="H216">
            <v>4884194.3280000072</v>
          </cell>
          <cell r="I216" t="str">
            <v>Liquidités et équivalents de liquidités</v>
          </cell>
          <cell r="J216">
            <v>4884194.3280000072</v>
          </cell>
          <cell r="K216">
            <v>0</v>
          </cell>
          <cell r="L216">
            <v>0</v>
          </cell>
          <cell r="M216">
            <v>4884194.3280000072</v>
          </cell>
        </row>
        <row r="217">
          <cell r="B217">
            <v>532010000</v>
          </cell>
          <cell r="C217" t="str">
            <v>ATB DOLLAR</v>
          </cell>
          <cell r="H217">
            <v>0</v>
          </cell>
          <cell r="J217">
            <v>0</v>
          </cell>
          <cell r="K217">
            <v>0</v>
          </cell>
          <cell r="L217">
            <v>0</v>
          </cell>
          <cell r="M217">
            <v>0</v>
          </cell>
        </row>
        <row r="218">
          <cell r="B218">
            <v>532020000</v>
          </cell>
          <cell r="C218" t="str">
            <v>B.T.K</v>
          </cell>
          <cell r="D218">
            <v>836.77199999894947</v>
          </cell>
          <cell r="E218">
            <v>0</v>
          </cell>
          <cell r="F218">
            <v>0</v>
          </cell>
          <cell r="G218">
            <v>0</v>
          </cell>
          <cell r="H218">
            <v>836.77199999894947</v>
          </cell>
          <cell r="I218" t="str">
            <v>Liquidités et équivalents de liquidités</v>
          </cell>
          <cell r="J218">
            <v>836.77199999894947</v>
          </cell>
          <cell r="K218">
            <v>0</v>
          </cell>
          <cell r="L218">
            <v>0</v>
          </cell>
          <cell r="M218">
            <v>836.77199999894947</v>
          </cell>
        </row>
        <row r="219">
          <cell r="B219">
            <v>532040000</v>
          </cell>
          <cell r="C219" t="str">
            <v>ATB MEGRINE</v>
          </cell>
          <cell r="H219">
            <v>0</v>
          </cell>
          <cell r="J219">
            <v>0</v>
          </cell>
          <cell r="K219">
            <v>0</v>
          </cell>
          <cell r="L219">
            <v>0</v>
          </cell>
          <cell r="M219">
            <v>0</v>
          </cell>
        </row>
        <row r="220">
          <cell r="B220">
            <v>532041000</v>
          </cell>
          <cell r="C220" t="str">
            <v>CPE INDISPONIBLE ATB</v>
          </cell>
          <cell r="H220">
            <v>0</v>
          </cell>
          <cell r="J220">
            <v>0</v>
          </cell>
          <cell r="K220">
            <v>0</v>
          </cell>
          <cell r="L220">
            <v>0</v>
          </cell>
          <cell r="M220">
            <v>0</v>
          </cell>
        </row>
        <row r="221">
          <cell r="B221">
            <v>532045000</v>
          </cell>
          <cell r="C221" t="str">
            <v>ATTIJARI BANK MEGRINE</v>
          </cell>
          <cell r="D221">
            <v>5874.02</v>
          </cell>
          <cell r="E221">
            <v>0</v>
          </cell>
          <cell r="F221">
            <v>0</v>
          </cell>
          <cell r="G221">
            <v>0</v>
          </cell>
          <cell r="H221">
            <v>5874.02</v>
          </cell>
          <cell r="I221" t="str">
            <v>Liquidités et équivalents de liquidités</v>
          </cell>
          <cell r="J221">
            <v>5874.02</v>
          </cell>
          <cell r="K221">
            <v>0</v>
          </cell>
          <cell r="L221">
            <v>0</v>
          </cell>
          <cell r="M221">
            <v>5874.02</v>
          </cell>
        </row>
        <row r="222">
          <cell r="B222">
            <v>532050000</v>
          </cell>
          <cell r="C222" t="str">
            <v>S.T.B</v>
          </cell>
          <cell r="D222">
            <v>4404.6740000329009</v>
          </cell>
          <cell r="E222">
            <v>0</v>
          </cell>
          <cell r="F222">
            <v>-22237.381000000001</v>
          </cell>
          <cell r="G222">
            <v>0</v>
          </cell>
          <cell r="H222">
            <v>-17832.7069999671</v>
          </cell>
          <cell r="I222" t="str">
            <v>Liquidités et équivalents de liquidités</v>
          </cell>
          <cell r="J222">
            <v>-17832.7069999671</v>
          </cell>
          <cell r="K222">
            <v>0</v>
          </cell>
          <cell r="L222">
            <v>0</v>
          </cell>
          <cell r="M222">
            <v>-17832.7069999671</v>
          </cell>
        </row>
        <row r="223">
          <cell r="B223">
            <v>532053000</v>
          </cell>
          <cell r="C223" t="str">
            <v>STB MEGRINE 2</v>
          </cell>
          <cell r="D223">
            <v>9797.1399999996647</v>
          </cell>
          <cell r="E223">
            <v>0</v>
          </cell>
          <cell r="F223">
            <v>0</v>
          </cell>
          <cell r="G223">
            <v>0</v>
          </cell>
          <cell r="H223">
            <v>9797.1399999996647</v>
          </cell>
          <cell r="I223" t="str">
            <v>Liquidités et équivalents de liquidités</v>
          </cell>
          <cell r="J223">
            <v>9797.1399999996647</v>
          </cell>
          <cell r="K223">
            <v>0</v>
          </cell>
          <cell r="L223">
            <v>0</v>
          </cell>
          <cell r="M223">
            <v>9797.1399999996647</v>
          </cell>
        </row>
        <row r="224">
          <cell r="B224">
            <v>532055000</v>
          </cell>
          <cell r="C224" t="str">
            <v xml:space="preserve">STB THAMER </v>
          </cell>
          <cell r="D224">
            <v>0</v>
          </cell>
          <cell r="E224">
            <v>0</v>
          </cell>
          <cell r="F224">
            <v>0</v>
          </cell>
          <cell r="G224">
            <v>0</v>
          </cell>
          <cell r="H224">
            <v>0</v>
          </cell>
          <cell r="J224">
            <v>0</v>
          </cell>
          <cell r="K224">
            <v>0</v>
          </cell>
          <cell r="L224">
            <v>0</v>
          </cell>
          <cell r="M224">
            <v>0</v>
          </cell>
        </row>
        <row r="225">
          <cell r="B225">
            <v>532056000</v>
          </cell>
          <cell r="C225" t="str">
            <v>STB MEGRINE</v>
          </cell>
          <cell r="D225">
            <v>-2274324.1210000068</v>
          </cell>
          <cell r="E225">
            <v>3816.991999999922</v>
          </cell>
          <cell r="F225">
            <v>266125.26199999999</v>
          </cell>
          <cell r="G225">
            <v>426.36999999998807</v>
          </cell>
          <cell r="H225">
            <v>-2003955.4970000067</v>
          </cell>
          <cell r="I225" t="str">
            <v>Concours bancaires &amp; autres passifs financiers</v>
          </cell>
          <cell r="J225">
            <v>-2003955.4970000067</v>
          </cell>
          <cell r="K225">
            <v>0</v>
          </cell>
          <cell r="L225">
            <v>0</v>
          </cell>
          <cell r="M225">
            <v>-2003955.4970000067</v>
          </cell>
        </row>
        <row r="226">
          <cell r="B226">
            <v>532057000</v>
          </cell>
          <cell r="C226" t="str">
            <v>STB MEGRINE EURO</v>
          </cell>
          <cell r="D226">
            <v>1558860.1736166999</v>
          </cell>
          <cell r="E226">
            <v>755.76799999999639</v>
          </cell>
          <cell r="F226">
            <v>0</v>
          </cell>
          <cell r="G226">
            <v>0</v>
          </cell>
          <cell r="H226">
            <v>1559615.9416166998</v>
          </cell>
          <cell r="I226" t="str">
            <v>Liquidités et équivalents de liquidités</v>
          </cell>
          <cell r="J226">
            <v>1559615.9416166998</v>
          </cell>
          <cell r="K226">
            <v>0</v>
          </cell>
          <cell r="L226">
            <v>0</v>
          </cell>
          <cell r="M226">
            <v>1559615.9416166998</v>
          </cell>
        </row>
        <row r="227">
          <cell r="B227">
            <v>532058000</v>
          </cell>
          <cell r="C227" t="str">
            <v>STB DOLLAR MEGRINE</v>
          </cell>
          <cell r="D227">
            <v>12.152000000216049</v>
          </cell>
          <cell r="E227">
            <v>0</v>
          </cell>
          <cell r="F227">
            <v>0</v>
          </cell>
          <cell r="G227">
            <v>0</v>
          </cell>
          <cell r="H227">
            <v>12.152000000216049</v>
          </cell>
          <cell r="I227" t="str">
            <v>Liquidités et équivalents de liquidités</v>
          </cell>
          <cell r="J227">
            <v>12.152000000216049</v>
          </cell>
          <cell r="K227">
            <v>0</v>
          </cell>
          <cell r="L227">
            <v>0</v>
          </cell>
          <cell r="M227">
            <v>12.152000000216049</v>
          </cell>
        </row>
        <row r="228">
          <cell r="B228">
            <v>532070000</v>
          </cell>
          <cell r="C228" t="str">
            <v>STB DOLLAR</v>
          </cell>
          <cell r="H228">
            <v>0</v>
          </cell>
          <cell r="J228">
            <v>0</v>
          </cell>
          <cell r="K228">
            <v>0</v>
          </cell>
          <cell r="L228">
            <v>0</v>
          </cell>
          <cell r="M228">
            <v>0</v>
          </cell>
        </row>
        <row r="229">
          <cell r="B229">
            <v>532071000</v>
          </cell>
          <cell r="C229" t="str">
            <v>UBCI</v>
          </cell>
          <cell r="H229">
            <v>0</v>
          </cell>
          <cell r="J229">
            <v>0</v>
          </cell>
          <cell r="K229">
            <v>0</v>
          </cell>
          <cell r="L229">
            <v>0</v>
          </cell>
          <cell r="M229">
            <v>0</v>
          </cell>
        </row>
        <row r="230">
          <cell r="B230">
            <v>532072000</v>
          </cell>
          <cell r="C230" t="str">
            <v>UBCI DOLLAR</v>
          </cell>
          <cell r="H230">
            <v>0</v>
          </cell>
          <cell r="J230">
            <v>0</v>
          </cell>
          <cell r="K230">
            <v>0</v>
          </cell>
          <cell r="L230">
            <v>0</v>
          </cell>
          <cell r="M230">
            <v>0</v>
          </cell>
        </row>
        <row r="231">
          <cell r="B231">
            <v>532080000</v>
          </cell>
          <cell r="C231" t="str">
            <v>STUSID</v>
          </cell>
          <cell r="D231">
            <v>485.66199999954551</v>
          </cell>
          <cell r="E231">
            <v>0</v>
          </cell>
          <cell r="F231">
            <v>0</v>
          </cell>
          <cell r="G231">
            <v>0</v>
          </cell>
          <cell r="H231">
            <v>485.66199999954551</v>
          </cell>
          <cell r="I231" t="str">
            <v>Liquidités et équivalents de liquidités</v>
          </cell>
          <cell r="J231">
            <v>485.66199999954551</v>
          </cell>
          <cell r="K231">
            <v>0</v>
          </cell>
          <cell r="L231">
            <v>0</v>
          </cell>
          <cell r="M231">
            <v>485.66199999954551</v>
          </cell>
        </row>
        <row r="232">
          <cell r="B232">
            <v>532081000</v>
          </cell>
          <cell r="C232" t="str">
            <v>STUSID MEGRINE</v>
          </cell>
          <cell r="H232">
            <v>0</v>
          </cell>
          <cell r="J232">
            <v>0</v>
          </cell>
          <cell r="K232">
            <v>0</v>
          </cell>
          <cell r="L232">
            <v>0</v>
          </cell>
          <cell r="M232">
            <v>0</v>
          </cell>
        </row>
        <row r="233">
          <cell r="B233">
            <v>532085000</v>
          </cell>
          <cell r="C233" t="str">
            <v>STB DEVISES</v>
          </cell>
          <cell r="H233">
            <v>0</v>
          </cell>
          <cell r="J233">
            <v>0</v>
          </cell>
          <cell r="K233">
            <v>0</v>
          </cell>
          <cell r="L233">
            <v>0</v>
          </cell>
          <cell r="M233">
            <v>0</v>
          </cell>
        </row>
        <row r="234">
          <cell r="B234">
            <v>532300000</v>
          </cell>
          <cell r="C234" t="str">
            <v>STB SFAX</v>
          </cell>
          <cell r="D234">
            <v>0</v>
          </cell>
          <cell r="E234">
            <v>0</v>
          </cell>
          <cell r="F234">
            <v>3357.7060000000001</v>
          </cell>
          <cell r="G234">
            <v>0</v>
          </cell>
          <cell r="H234">
            <v>3357.7060000000001</v>
          </cell>
          <cell r="I234" t="str">
            <v>Liquidités et équivalents de liquidités</v>
          </cell>
          <cell r="J234">
            <v>3357.7060000000001</v>
          </cell>
          <cell r="K234">
            <v>0</v>
          </cell>
          <cell r="L234">
            <v>0</v>
          </cell>
          <cell r="M234">
            <v>3357.7060000000001</v>
          </cell>
        </row>
        <row r="235">
          <cell r="B235">
            <v>532400000</v>
          </cell>
          <cell r="C235" t="str">
            <v>STB SOUSSE</v>
          </cell>
          <cell r="D235">
            <v>0</v>
          </cell>
          <cell r="E235">
            <v>0</v>
          </cell>
          <cell r="F235">
            <v>23143.116000000002</v>
          </cell>
          <cell r="G235">
            <v>0</v>
          </cell>
          <cell r="H235">
            <v>23143.116000000002</v>
          </cell>
          <cell r="I235" t="str">
            <v>Liquidités et équivalents de liquidités</v>
          </cell>
          <cell r="J235">
            <v>23143.116000000002</v>
          </cell>
          <cell r="K235">
            <v>0</v>
          </cell>
          <cell r="L235">
            <v>0</v>
          </cell>
          <cell r="M235">
            <v>23143.116000000002</v>
          </cell>
        </row>
        <row r="236">
          <cell r="B236">
            <v>532600000</v>
          </cell>
          <cell r="C236" t="str">
            <v>STB GABES</v>
          </cell>
          <cell r="D236">
            <v>0</v>
          </cell>
          <cell r="E236">
            <v>0</v>
          </cell>
          <cell r="F236">
            <v>239.59399999999999</v>
          </cell>
          <cell r="G236">
            <v>0</v>
          </cell>
          <cell r="H236">
            <v>239.59399999999999</v>
          </cell>
          <cell r="I236" t="str">
            <v>Liquidités et équivalents de liquidités</v>
          </cell>
          <cell r="J236">
            <v>239.59399999999999</v>
          </cell>
          <cell r="K236">
            <v>0</v>
          </cell>
          <cell r="L236">
            <v>0</v>
          </cell>
          <cell r="M236">
            <v>239.59399999999999</v>
          </cell>
        </row>
        <row r="237">
          <cell r="B237">
            <v>532700000</v>
          </cell>
          <cell r="C237" t="str">
            <v>STB GAFSA</v>
          </cell>
          <cell r="D237">
            <v>0</v>
          </cell>
          <cell r="E237">
            <v>0</v>
          </cell>
          <cell r="F237">
            <v>-6.3289999999999997</v>
          </cell>
          <cell r="G237">
            <v>0</v>
          </cell>
          <cell r="H237">
            <v>-6.3289999999999997</v>
          </cell>
          <cell r="I237" t="str">
            <v>Liquidités et équivalents de liquidités</v>
          </cell>
          <cell r="J237">
            <v>-6.3289999999999997</v>
          </cell>
          <cell r="K237">
            <v>0</v>
          </cell>
          <cell r="L237">
            <v>0</v>
          </cell>
          <cell r="M237">
            <v>-6.3289999999999997</v>
          </cell>
        </row>
        <row r="238">
          <cell r="B238">
            <v>532800000</v>
          </cell>
          <cell r="C238" t="str">
            <v>STB JENDOUBA</v>
          </cell>
          <cell r="D238">
            <v>0</v>
          </cell>
          <cell r="E238">
            <v>0</v>
          </cell>
          <cell r="F238">
            <v>517.30700000000002</v>
          </cell>
          <cell r="G238">
            <v>0</v>
          </cell>
          <cell r="H238">
            <v>517.30700000000002</v>
          </cell>
          <cell r="I238" t="str">
            <v>Liquidités et équivalents de liquidités</v>
          </cell>
          <cell r="J238">
            <v>517.30700000000002</v>
          </cell>
          <cell r="K238">
            <v>0</v>
          </cell>
          <cell r="L238">
            <v>0</v>
          </cell>
          <cell r="M238">
            <v>517.30700000000002</v>
          </cell>
        </row>
        <row r="239">
          <cell r="B239">
            <v>532900000</v>
          </cell>
          <cell r="C239" t="str">
            <v>CONCOURS BANCAIRES LIES A ESC EFFET</v>
          </cell>
          <cell r="H239">
            <v>0</v>
          </cell>
          <cell r="J239">
            <v>0</v>
          </cell>
          <cell r="K239">
            <v>0</v>
          </cell>
          <cell r="L239">
            <v>0</v>
          </cell>
          <cell r="M239">
            <v>0</v>
          </cell>
        </row>
        <row r="240">
          <cell r="B240">
            <v>532900001</v>
          </cell>
          <cell r="C240" t="str">
            <v>CONCOURS BANCAIRES LIES A ESC EFFET</v>
          </cell>
          <cell r="H240">
            <v>0</v>
          </cell>
          <cell r="I240" t="str">
            <v>Liquidités et équivalents de liquidités</v>
          </cell>
          <cell r="J240">
            <v>0</v>
          </cell>
          <cell r="K240">
            <v>0</v>
          </cell>
          <cell r="L240">
            <v>0</v>
          </cell>
          <cell r="M240">
            <v>0</v>
          </cell>
        </row>
        <row r="241">
          <cell r="B241">
            <v>540000000</v>
          </cell>
          <cell r="C241" t="str">
            <v>CAISSES</v>
          </cell>
          <cell r="D241">
            <v>0</v>
          </cell>
          <cell r="E241">
            <v>0</v>
          </cell>
          <cell r="F241">
            <v>2000</v>
          </cell>
          <cell r="G241">
            <v>0</v>
          </cell>
          <cell r="H241">
            <v>2000</v>
          </cell>
          <cell r="I241" t="str">
            <v>Liquidités et équivalents de liquidités</v>
          </cell>
          <cell r="J241">
            <v>2000</v>
          </cell>
          <cell r="K241">
            <v>0</v>
          </cell>
          <cell r="L241">
            <v>0</v>
          </cell>
          <cell r="M241">
            <v>2000</v>
          </cell>
        </row>
        <row r="242">
          <cell r="B242">
            <v>540030000</v>
          </cell>
          <cell r="C242" t="str">
            <v>CAISSE SFAX</v>
          </cell>
          <cell r="D242">
            <v>0</v>
          </cell>
          <cell r="E242">
            <v>0</v>
          </cell>
          <cell r="F242">
            <v>0</v>
          </cell>
          <cell r="G242">
            <v>0</v>
          </cell>
          <cell r="H242">
            <v>0</v>
          </cell>
          <cell r="J242">
            <v>0</v>
          </cell>
          <cell r="K242">
            <v>0</v>
          </cell>
          <cell r="L242">
            <v>0</v>
          </cell>
          <cell r="M242">
            <v>0</v>
          </cell>
        </row>
        <row r="243">
          <cell r="B243">
            <v>540040000</v>
          </cell>
          <cell r="C243" t="str">
            <v>CAISSE SOUSSE</v>
          </cell>
          <cell r="D243">
            <v>0</v>
          </cell>
          <cell r="E243">
            <v>0</v>
          </cell>
          <cell r="F243">
            <v>0</v>
          </cell>
          <cell r="G243">
            <v>0</v>
          </cell>
          <cell r="H243">
            <v>0</v>
          </cell>
          <cell r="J243">
            <v>0</v>
          </cell>
          <cell r="K243">
            <v>0</v>
          </cell>
          <cell r="L243">
            <v>0</v>
          </cell>
          <cell r="M243">
            <v>0</v>
          </cell>
        </row>
        <row r="244">
          <cell r="B244">
            <v>540060000</v>
          </cell>
          <cell r="C244" t="str">
            <v>CAISSE GABES</v>
          </cell>
          <cell r="D244">
            <v>0</v>
          </cell>
          <cell r="E244">
            <v>0</v>
          </cell>
          <cell r="F244">
            <v>0</v>
          </cell>
          <cell r="G244">
            <v>0</v>
          </cell>
          <cell r="H244">
            <v>0</v>
          </cell>
          <cell r="J244">
            <v>0</v>
          </cell>
          <cell r="K244">
            <v>0</v>
          </cell>
          <cell r="L244">
            <v>0</v>
          </cell>
          <cell r="M244">
            <v>0</v>
          </cell>
        </row>
        <row r="245">
          <cell r="B245">
            <v>540070000</v>
          </cell>
          <cell r="C245" t="str">
            <v>CAISSE GAFSA</v>
          </cell>
          <cell r="D245">
            <v>0</v>
          </cell>
          <cell r="E245">
            <v>0</v>
          </cell>
          <cell r="F245">
            <v>0</v>
          </cell>
          <cell r="G245">
            <v>0</v>
          </cell>
          <cell r="H245">
            <v>0</v>
          </cell>
          <cell r="J245">
            <v>0</v>
          </cell>
          <cell r="K245">
            <v>0</v>
          </cell>
          <cell r="L245">
            <v>0</v>
          </cell>
          <cell r="M245">
            <v>0</v>
          </cell>
        </row>
        <row r="246">
          <cell r="B246">
            <v>540080000</v>
          </cell>
          <cell r="C246" t="str">
            <v>CAISSE JENDOUBA</v>
          </cell>
          <cell r="D246">
            <v>0</v>
          </cell>
          <cell r="E246">
            <v>0</v>
          </cell>
          <cell r="F246">
            <v>0</v>
          </cell>
          <cell r="G246">
            <v>0</v>
          </cell>
          <cell r="H246">
            <v>0</v>
          </cell>
          <cell r="J246">
            <v>0</v>
          </cell>
          <cell r="K246">
            <v>0</v>
          </cell>
          <cell r="L246">
            <v>0</v>
          </cell>
          <cell r="M246">
            <v>0</v>
          </cell>
        </row>
        <row r="247">
          <cell r="B247">
            <v>541000000</v>
          </cell>
          <cell r="C247" t="str">
            <v>CAIISE DEPENSE</v>
          </cell>
          <cell r="D247">
            <v>0</v>
          </cell>
          <cell r="E247">
            <v>0</v>
          </cell>
          <cell r="F247">
            <v>53.219000000000001</v>
          </cell>
          <cell r="G247">
            <v>120.00000000000003</v>
          </cell>
          <cell r="H247">
            <v>173.21900000000002</v>
          </cell>
          <cell r="I247" t="str">
            <v>Liquidités et équivalents de liquidités</v>
          </cell>
          <cell r="J247">
            <v>173.21900000000002</v>
          </cell>
          <cell r="K247">
            <v>0</v>
          </cell>
          <cell r="L247">
            <v>0</v>
          </cell>
          <cell r="M247">
            <v>173.21900000000002</v>
          </cell>
        </row>
        <row r="248">
          <cell r="B248">
            <v>543000000</v>
          </cell>
          <cell r="C248" t="str">
            <v>CAISSE REGIE</v>
          </cell>
          <cell r="H248">
            <v>0</v>
          </cell>
          <cell r="J248">
            <v>0</v>
          </cell>
          <cell r="K248">
            <v>0</v>
          </cell>
          <cell r="L248">
            <v>0</v>
          </cell>
          <cell r="M248">
            <v>0</v>
          </cell>
        </row>
        <row r="249">
          <cell r="B249">
            <v>550020000</v>
          </cell>
          <cell r="C249" t="str">
            <v>FOND DE CAISSE MEGRINE</v>
          </cell>
          <cell r="D249">
            <v>0</v>
          </cell>
          <cell r="E249">
            <v>0</v>
          </cell>
          <cell r="F249">
            <v>794.4</v>
          </cell>
          <cell r="G249">
            <v>0</v>
          </cell>
          <cell r="H249">
            <v>794.4</v>
          </cell>
          <cell r="I249" t="str">
            <v>Liquidités et équivalents de liquidités</v>
          </cell>
          <cell r="J249">
            <v>794.4</v>
          </cell>
          <cell r="K249">
            <v>0</v>
          </cell>
          <cell r="L249">
            <v>0</v>
          </cell>
          <cell r="M249">
            <v>794.4</v>
          </cell>
        </row>
        <row r="250">
          <cell r="B250">
            <v>550030000</v>
          </cell>
          <cell r="C250" t="str">
            <v>FOND DE CAISSE SFAX</v>
          </cell>
          <cell r="D250">
            <v>0</v>
          </cell>
          <cell r="E250">
            <v>0</v>
          </cell>
          <cell r="F250">
            <v>1000</v>
          </cell>
          <cell r="G250">
            <v>0</v>
          </cell>
          <cell r="H250">
            <v>1000</v>
          </cell>
          <cell r="I250" t="str">
            <v>Liquidités et équivalents de liquidités</v>
          </cell>
          <cell r="J250">
            <v>1000</v>
          </cell>
          <cell r="K250">
            <v>0</v>
          </cell>
          <cell r="L250">
            <v>0</v>
          </cell>
          <cell r="M250">
            <v>1000</v>
          </cell>
        </row>
        <row r="251">
          <cell r="B251">
            <v>550040000</v>
          </cell>
          <cell r="C251" t="str">
            <v>fond de caisse sousse</v>
          </cell>
          <cell r="D251">
            <v>0</v>
          </cell>
          <cell r="E251">
            <v>0</v>
          </cell>
          <cell r="F251">
            <v>900</v>
          </cell>
          <cell r="G251">
            <v>0</v>
          </cell>
          <cell r="H251">
            <v>900</v>
          </cell>
          <cell r="I251" t="str">
            <v>Liquidités et équivalents de liquidités</v>
          </cell>
          <cell r="J251">
            <v>900</v>
          </cell>
          <cell r="K251">
            <v>0</v>
          </cell>
          <cell r="L251">
            <v>0</v>
          </cell>
          <cell r="M251">
            <v>900</v>
          </cell>
        </row>
        <row r="252">
          <cell r="B252">
            <v>550060000</v>
          </cell>
          <cell r="C252" t="str">
            <v>FOND DE CAISSE GABES</v>
          </cell>
          <cell r="D252">
            <v>0</v>
          </cell>
          <cell r="E252">
            <v>0</v>
          </cell>
          <cell r="F252">
            <v>800</v>
          </cell>
          <cell r="G252">
            <v>0</v>
          </cell>
          <cell r="H252">
            <v>800</v>
          </cell>
          <cell r="I252" t="str">
            <v>Liquidités et équivalents de liquidités</v>
          </cell>
          <cell r="J252">
            <v>800</v>
          </cell>
          <cell r="K252">
            <v>0</v>
          </cell>
          <cell r="L252">
            <v>0</v>
          </cell>
          <cell r="M252">
            <v>800</v>
          </cell>
        </row>
        <row r="253">
          <cell r="B253">
            <v>550070000</v>
          </cell>
          <cell r="C253" t="str">
            <v>FOND DE CAISSE GAFSA</v>
          </cell>
          <cell r="D253">
            <v>0</v>
          </cell>
          <cell r="E253">
            <v>0</v>
          </cell>
          <cell r="F253">
            <v>800</v>
          </cell>
          <cell r="G253">
            <v>0</v>
          </cell>
          <cell r="H253">
            <v>800</v>
          </cell>
          <cell r="I253" t="str">
            <v>Liquidités et équivalents de liquidités</v>
          </cell>
          <cell r="J253">
            <v>800</v>
          </cell>
          <cell r="K253">
            <v>0</v>
          </cell>
          <cell r="L253">
            <v>0</v>
          </cell>
          <cell r="M253">
            <v>800</v>
          </cell>
        </row>
        <row r="254">
          <cell r="B254">
            <v>550080000</v>
          </cell>
          <cell r="C254" t="str">
            <v>FOND DE CAISSE JENDOUBA</v>
          </cell>
          <cell r="D254">
            <v>0</v>
          </cell>
          <cell r="E254">
            <v>0</v>
          </cell>
          <cell r="F254">
            <v>800</v>
          </cell>
          <cell r="G254">
            <v>0</v>
          </cell>
          <cell r="H254">
            <v>800</v>
          </cell>
          <cell r="I254" t="str">
            <v>Liquidités et équivalents de liquidités</v>
          </cell>
          <cell r="J254">
            <v>800</v>
          </cell>
          <cell r="K254">
            <v>0</v>
          </cell>
          <cell r="L254">
            <v>0</v>
          </cell>
          <cell r="M254">
            <v>800</v>
          </cell>
        </row>
        <row r="255">
          <cell r="B255">
            <v>550100000</v>
          </cell>
          <cell r="C255" t="str">
            <v>FOND DE CAISSE ACHAT</v>
          </cell>
          <cell r="D255">
            <v>3688.7089999999998</v>
          </cell>
          <cell r="E255">
            <v>0</v>
          </cell>
          <cell r="F255">
            <v>500</v>
          </cell>
          <cell r="G255">
            <v>0</v>
          </cell>
          <cell r="H255">
            <v>4188.7089999999998</v>
          </cell>
          <cell r="I255" t="str">
            <v>Liquidités et équivalents de liquidités</v>
          </cell>
          <cell r="J255">
            <v>4188.7089999999998</v>
          </cell>
          <cell r="K255">
            <v>0</v>
          </cell>
          <cell r="L255">
            <v>0</v>
          </cell>
          <cell r="M255">
            <v>4188.7089999999998</v>
          </cell>
        </row>
        <row r="256">
          <cell r="B256">
            <v>550110000</v>
          </cell>
          <cell r="C256" t="str">
            <v>FOND DE CAISSE LOGISTIQU</v>
          </cell>
          <cell r="D256">
            <v>1000</v>
          </cell>
          <cell r="E256">
            <v>0</v>
          </cell>
          <cell r="F256">
            <v>0</v>
          </cell>
          <cell r="G256">
            <v>0</v>
          </cell>
          <cell r="H256">
            <v>1000</v>
          </cell>
          <cell r="I256" t="str">
            <v>Liquidités et équivalents de liquidités</v>
          </cell>
          <cell r="J256">
            <v>1000</v>
          </cell>
          <cell r="K256">
            <v>0</v>
          </cell>
          <cell r="L256">
            <v>0</v>
          </cell>
          <cell r="M256">
            <v>1000</v>
          </cell>
        </row>
        <row r="257">
          <cell r="B257">
            <v>580000000</v>
          </cell>
          <cell r="C257" t="str">
            <v>VIREMENT DE FONDS</v>
          </cell>
          <cell r="D257">
            <v>0</v>
          </cell>
          <cell r="E257">
            <v>0</v>
          </cell>
          <cell r="F257">
            <v>0</v>
          </cell>
          <cell r="G257">
            <v>0</v>
          </cell>
          <cell r="H257">
            <v>0</v>
          </cell>
          <cell r="I257" t="str">
            <v>Liquidités et équivalents de liquidités</v>
          </cell>
          <cell r="J257">
            <v>0</v>
          </cell>
          <cell r="K257">
            <v>0</v>
          </cell>
          <cell r="L257">
            <v>0</v>
          </cell>
          <cell r="M257">
            <v>0</v>
          </cell>
        </row>
        <row r="258">
          <cell r="B258">
            <v>580010000</v>
          </cell>
          <cell r="C258" t="str">
            <v>VIREMENT DE FOND BAN</v>
          </cell>
          <cell r="H258">
            <v>0</v>
          </cell>
          <cell r="I258" t="str">
            <v>Liquidités et équivalents de liquidités</v>
          </cell>
          <cell r="J258">
            <v>0</v>
          </cell>
          <cell r="K258">
            <v>0</v>
          </cell>
          <cell r="L258">
            <v>0</v>
          </cell>
          <cell r="M258">
            <v>0</v>
          </cell>
        </row>
        <row r="259">
          <cell r="B259">
            <v>580020000</v>
          </cell>
          <cell r="C259" t="str">
            <v>Virements inter caisse</v>
          </cell>
          <cell r="H259">
            <v>0</v>
          </cell>
          <cell r="J259">
            <v>0</v>
          </cell>
          <cell r="K259">
            <v>0</v>
          </cell>
          <cell r="L259">
            <v>0</v>
          </cell>
          <cell r="M259">
            <v>0</v>
          </cell>
        </row>
        <row r="260">
          <cell r="B260">
            <v>580030000</v>
          </cell>
          <cell r="C260" t="str">
            <v>Virement interne</v>
          </cell>
          <cell r="D260">
            <v>1.0099634528160095E-4</v>
          </cell>
          <cell r="E260">
            <v>0</v>
          </cell>
          <cell r="F260">
            <v>0</v>
          </cell>
          <cell r="G260">
            <v>0</v>
          </cell>
          <cell r="H260">
            <v>1.0099634528160095E-4</v>
          </cell>
          <cell r="J260">
            <v>1.0099634528160095E-4</v>
          </cell>
          <cell r="K260">
            <v>0</v>
          </cell>
          <cell r="L260">
            <v>0</v>
          </cell>
          <cell r="M260">
            <v>1.0099634528160095E-4</v>
          </cell>
        </row>
        <row r="261">
          <cell r="B261">
            <v>580040000</v>
          </cell>
          <cell r="C261" t="str">
            <v>VIRMENT FRS</v>
          </cell>
          <cell r="H261">
            <v>0</v>
          </cell>
          <cell r="J261">
            <v>0</v>
          </cell>
          <cell r="K261">
            <v>0</v>
          </cell>
          <cell r="L261">
            <v>0</v>
          </cell>
          <cell r="M261">
            <v>0</v>
          </cell>
        </row>
        <row r="262">
          <cell r="B262">
            <v>580050000</v>
          </cell>
          <cell r="C262" t="str">
            <v>VIREMENT ETRANGER</v>
          </cell>
          <cell r="D262">
            <v>2.8079748153686523E-4</v>
          </cell>
          <cell r="E262">
            <v>0</v>
          </cell>
          <cell r="F262">
            <v>0</v>
          </cell>
          <cell r="G262">
            <v>0</v>
          </cell>
          <cell r="H262">
            <v>2.8079748153686523E-4</v>
          </cell>
          <cell r="I262" t="str">
            <v>Liquidités et équivalents de liquidités</v>
          </cell>
          <cell r="J262">
            <v>2.8079748153686523E-4</v>
          </cell>
          <cell r="K262">
            <v>0</v>
          </cell>
          <cell r="L262">
            <v>0</v>
          </cell>
          <cell r="M262">
            <v>2.8079748153686523E-4</v>
          </cell>
        </row>
        <row r="263">
          <cell r="B263">
            <v>580060000</v>
          </cell>
          <cell r="C263" t="str">
            <v>virement de caisse</v>
          </cell>
          <cell r="H263">
            <v>0</v>
          </cell>
          <cell r="J263">
            <v>0</v>
          </cell>
          <cell r="K263">
            <v>0</v>
          </cell>
          <cell r="L263">
            <v>0</v>
          </cell>
          <cell r="M263">
            <v>0</v>
          </cell>
        </row>
        <row r="264">
          <cell r="B264">
            <v>590000000</v>
          </cell>
          <cell r="C264" t="str">
            <v>Provisions pour dépréciation des comptes financiers</v>
          </cell>
          <cell r="D264">
            <v>0</v>
          </cell>
          <cell r="E264">
            <v>0</v>
          </cell>
          <cell r="F264">
            <v>-11728.883</v>
          </cell>
          <cell r="G264">
            <v>0</v>
          </cell>
          <cell r="H264">
            <v>-11728.883</v>
          </cell>
          <cell r="I264" t="str">
            <v>Provisions pour dépréciation des Liquidités et équivalents de liquidités</v>
          </cell>
          <cell r="J264">
            <v>-11728.883</v>
          </cell>
          <cell r="K264">
            <v>0</v>
          </cell>
          <cell r="L264">
            <v>0</v>
          </cell>
          <cell r="M264">
            <v>-11728.883</v>
          </cell>
        </row>
        <row r="265">
          <cell r="B265">
            <v>601000000</v>
          </cell>
          <cell r="C265" t="str">
            <v>ACH.STC.MAT.PRE&amp;FO.L</v>
          </cell>
          <cell r="D265">
            <v>0</v>
          </cell>
          <cell r="E265">
            <v>0</v>
          </cell>
          <cell r="F265">
            <v>0</v>
          </cell>
          <cell r="G265">
            <v>0</v>
          </cell>
          <cell r="H265">
            <v>0</v>
          </cell>
          <cell r="I265" t="str">
            <v>Achats d'Approvisionnement Consommés</v>
          </cell>
          <cell r="J265">
            <v>0</v>
          </cell>
          <cell r="K265">
            <v>0</v>
          </cell>
          <cell r="L265">
            <v>0</v>
          </cell>
          <cell r="M265">
            <v>0</v>
          </cell>
        </row>
        <row r="266">
          <cell r="B266">
            <v>601100000</v>
          </cell>
          <cell r="C266" t="str">
            <v>MATIERE PREM.LOCAL</v>
          </cell>
          <cell r="F266">
            <v>0</v>
          </cell>
          <cell r="H266">
            <v>0</v>
          </cell>
          <cell r="J266">
            <v>0</v>
          </cell>
          <cell r="K266">
            <v>0</v>
          </cell>
          <cell r="L266">
            <v>0</v>
          </cell>
          <cell r="M266">
            <v>0</v>
          </cell>
        </row>
        <row r="267">
          <cell r="B267">
            <v>601101000</v>
          </cell>
          <cell r="C267" t="str">
            <v>MATI.PREM.LOCA.GROUP</v>
          </cell>
          <cell r="H267">
            <v>0</v>
          </cell>
          <cell r="I267" t="str">
            <v>Achats d'Approvisionnement Consommés</v>
          </cell>
          <cell r="J267">
            <v>0</v>
          </cell>
          <cell r="K267">
            <v>0</v>
          </cell>
          <cell r="L267">
            <v>0</v>
          </cell>
          <cell r="M267">
            <v>0</v>
          </cell>
        </row>
        <row r="268">
          <cell r="B268">
            <v>601102100</v>
          </cell>
          <cell r="C268" t="str">
            <v>ACHAT COUVERCLES</v>
          </cell>
          <cell r="D268">
            <v>1325747.280672</v>
          </cell>
          <cell r="E268">
            <v>0</v>
          </cell>
          <cell r="F268">
            <v>0</v>
          </cell>
          <cell r="G268">
            <v>0</v>
          </cell>
          <cell r="H268">
            <v>1325747.280672</v>
          </cell>
          <cell r="I268" t="str">
            <v>Achats d'Approvisionnement Consommés</v>
          </cell>
          <cell r="J268">
            <v>1325747.280672</v>
          </cell>
          <cell r="K268">
            <v>0</v>
          </cell>
          <cell r="L268">
            <v>0</v>
          </cell>
          <cell r="M268">
            <v>1325747.280672</v>
          </cell>
        </row>
        <row r="269">
          <cell r="B269">
            <v>601102130</v>
          </cell>
          <cell r="C269" t="str">
            <v>ACHAT BAGUE POUR BORNE</v>
          </cell>
          <cell r="D269">
            <v>2020</v>
          </cell>
          <cell r="E269">
            <v>0</v>
          </cell>
          <cell r="F269">
            <v>0</v>
          </cell>
          <cell r="G269">
            <v>0</v>
          </cell>
          <cell r="H269">
            <v>2020</v>
          </cell>
          <cell r="I269" t="str">
            <v>Achats d'Approvisionnement Consommés</v>
          </cell>
          <cell r="J269">
            <v>2020</v>
          </cell>
          <cell r="K269">
            <v>0</v>
          </cell>
          <cell r="L269">
            <v>0</v>
          </cell>
          <cell r="M269">
            <v>2020</v>
          </cell>
        </row>
        <row r="270">
          <cell r="B270">
            <v>601102200</v>
          </cell>
          <cell r="C270" t="str">
            <v>ACHAT BACS</v>
          </cell>
          <cell r="D270">
            <v>1686118.2546779998</v>
          </cell>
          <cell r="E270">
            <v>0</v>
          </cell>
          <cell r="F270">
            <v>0</v>
          </cell>
          <cell r="G270">
            <v>0</v>
          </cell>
          <cell r="H270">
            <v>1686118.2546779998</v>
          </cell>
          <cell r="I270" t="str">
            <v>Achats d'Approvisionnement Consommés</v>
          </cell>
          <cell r="J270">
            <v>1686118.2546779998</v>
          </cell>
          <cell r="K270">
            <v>0</v>
          </cell>
          <cell r="L270">
            <v>0</v>
          </cell>
          <cell r="M270">
            <v>1686118.2546779998</v>
          </cell>
        </row>
        <row r="271">
          <cell r="B271">
            <v>601103000</v>
          </cell>
          <cell r="C271" t="str">
            <v>ACHAT BOUCHONS</v>
          </cell>
          <cell r="D271">
            <v>213891.00076300002</v>
          </cell>
          <cell r="E271">
            <v>0</v>
          </cell>
          <cell r="F271">
            <v>0</v>
          </cell>
          <cell r="G271">
            <v>0</v>
          </cell>
          <cell r="H271">
            <v>213891.00076300002</v>
          </cell>
          <cell r="I271" t="str">
            <v>Achats d'Approvisionnement Consommés</v>
          </cell>
          <cell r="J271">
            <v>213891.00076300002</v>
          </cell>
          <cell r="K271">
            <v>0</v>
          </cell>
          <cell r="L271">
            <v>0</v>
          </cell>
          <cell r="M271">
            <v>213891.00076300002</v>
          </cell>
        </row>
        <row r="272">
          <cell r="B272">
            <v>601103100</v>
          </cell>
          <cell r="C272" t="str">
            <v>ACHAT OEIL MAGIQUE</v>
          </cell>
          <cell r="D272">
            <v>100060.2225</v>
          </cell>
          <cell r="E272">
            <v>0</v>
          </cell>
          <cell r="F272">
            <v>0</v>
          </cell>
          <cell r="G272">
            <v>0</v>
          </cell>
          <cell r="H272">
            <v>100060.2225</v>
          </cell>
          <cell r="I272" t="str">
            <v>Achats d'Approvisionnement Consommés</v>
          </cell>
          <cell r="J272">
            <v>100060.2225</v>
          </cell>
          <cell r="K272">
            <v>0</v>
          </cell>
          <cell r="L272">
            <v>0</v>
          </cell>
          <cell r="M272">
            <v>100060.2225</v>
          </cell>
        </row>
        <row r="273">
          <cell r="B273">
            <v>601103200</v>
          </cell>
          <cell r="C273" t="str">
            <v>ACTF ACTIVITE FINITION</v>
          </cell>
          <cell r="D273">
            <v>33052.171159000005</v>
          </cell>
          <cell r="E273">
            <v>0</v>
          </cell>
          <cell r="F273">
            <v>0</v>
          </cell>
          <cell r="G273">
            <v>0</v>
          </cell>
          <cell r="H273">
            <v>33052.171159000005</v>
          </cell>
          <cell r="I273" t="str">
            <v>Achats d'Approvisionnement Consommés</v>
          </cell>
          <cell r="J273">
            <v>33052.171159000005</v>
          </cell>
          <cell r="K273">
            <v>0</v>
          </cell>
          <cell r="L273">
            <v>0</v>
          </cell>
          <cell r="M273">
            <v>33052.171159000005</v>
          </cell>
        </row>
        <row r="274">
          <cell r="B274">
            <v>601103300</v>
          </cell>
          <cell r="C274" t="str">
            <v>CALES EN PLASTIQUE</v>
          </cell>
          <cell r="D274">
            <v>15170.378000000001</v>
          </cell>
          <cell r="E274">
            <v>0</v>
          </cell>
          <cell r="F274">
            <v>0</v>
          </cell>
          <cell r="G274">
            <v>0</v>
          </cell>
          <cell r="H274">
            <v>15170.378000000001</v>
          </cell>
          <cell r="I274" t="str">
            <v>Achats d'Approvisionnement Consommés</v>
          </cell>
          <cell r="J274">
            <v>15170.378000000001</v>
          </cell>
          <cell r="K274">
            <v>0</v>
          </cell>
          <cell r="L274">
            <v>0</v>
          </cell>
          <cell r="M274">
            <v>15170.378000000001</v>
          </cell>
        </row>
        <row r="275">
          <cell r="B275">
            <v>601103400</v>
          </cell>
          <cell r="C275" t="str">
            <v>REGLE DE FERMETURE</v>
          </cell>
          <cell r="D275">
            <v>1034.1030000000001</v>
          </cell>
          <cell r="E275">
            <v>0</v>
          </cell>
          <cell r="F275">
            <v>0</v>
          </cell>
          <cell r="G275">
            <v>0</v>
          </cell>
          <cell r="H275">
            <v>1034.1030000000001</v>
          </cell>
          <cell r="I275" t="str">
            <v>Achats d'Approvisionnement Consommés</v>
          </cell>
          <cell r="J275">
            <v>1034.1030000000001</v>
          </cell>
          <cell r="K275">
            <v>0</v>
          </cell>
          <cell r="L275">
            <v>0</v>
          </cell>
          <cell r="M275">
            <v>1034.1030000000001</v>
          </cell>
        </row>
        <row r="276">
          <cell r="B276">
            <v>601104000</v>
          </cell>
          <cell r="C276" t="str">
            <v>ACHAT RAMPES</v>
          </cell>
          <cell r="D276">
            <v>1186.2711000000002</v>
          </cell>
          <cell r="E276">
            <v>0</v>
          </cell>
          <cell r="F276">
            <v>0</v>
          </cell>
          <cell r="G276">
            <v>0</v>
          </cell>
          <cell r="H276">
            <v>1186.2711000000002</v>
          </cell>
          <cell r="I276" t="str">
            <v>Achats d'Approvisionnement Consommés</v>
          </cell>
          <cell r="J276">
            <v>1186.2711000000002</v>
          </cell>
          <cell r="K276">
            <v>0</v>
          </cell>
          <cell r="L276">
            <v>0</v>
          </cell>
          <cell r="M276">
            <v>1186.2711000000002</v>
          </cell>
        </row>
        <row r="277">
          <cell r="B277">
            <v>601105000</v>
          </cell>
          <cell r="C277" t="str">
            <v>ACHAT CACHE BORNES</v>
          </cell>
          <cell r="D277">
            <v>47496.882999999994</v>
          </cell>
          <cell r="E277">
            <v>0</v>
          </cell>
          <cell r="F277">
            <v>0</v>
          </cell>
          <cell r="G277">
            <v>0</v>
          </cell>
          <cell r="H277">
            <v>47496.882999999994</v>
          </cell>
          <cell r="I277" t="str">
            <v>Achats d'Approvisionnement Consommés</v>
          </cell>
          <cell r="J277">
            <v>47496.882999999994</v>
          </cell>
          <cell r="K277">
            <v>0</v>
          </cell>
          <cell r="L277">
            <v>0</v>
          </cell>
          <cell r="M277">
            <v>47496.882999999994</v>
          </cell>
        </row>
        <row r="278">
          <cell r="B278">
            <v>601106000</v>
          </cell>
          <cell r="C278" t="str">
            <v>ACHAT POIGNETS</v>
          </cell>
          <cell r="D278">
            <v>35439.379000000001</v>
          </cell>
          <cell r="E278">
            <v>0</v>
          </cell>
          <cell r="F278">
            <v>0</v>
          </cell>
          <cell r="G278">
            <v>0</v>
          </cell>
          <cell r="H278">
            <v>35439.379000000001</v>
          </cell>
          <cell r="I278" t="str">
            <v>Achats d'Approvisionnement Consommés</v>
          </cell>
          <cell r="J278">
            <v>35439.379000000001</v>
          </cell>
          <cell r="K278">
            <v>0</v>
          </cell>
          <cell r="L278">
            <v>0</v>
          </cell>
          <cell r="M278">
            <v>35439.379000000001</v>
          </cell>
        </row>
        <row r="279">
          <cell r="B279">
            <v>601107000</v>
          </cell>
          <cell r="C279" t="str">
            <v>ACHAT RONDELLES</v>
          </cell>
          <cell r="D279">
            <v>12595.311000000002</v>
          </cell>
          <cell r="E279">
            <v>0</v>
          </cell>
          <cell r="F279">
            <v>0</v>
          </cell>
          <cell r="G279">
            <v>0</v>
          </cell>
          <cell r="H279">
            <v>12595.311000000002</v>
          </cell>
          <cell r="I279" t="str">
            <v>Achats d'Approvisionnement Consommés</v>
          </cell>
          <cell r="J279">
            <v>12595.311000000002</v>
          </cell>
          <cell r="K279">
            <v>0</v>
          </cell>
          <cell r="L279">
            <v>0</v>
          </cell>
          <cell r="M279">
            <v>12595.311000000002</v>
          </cell>
        </row>
        <row r="280">
          <cell r="B280">
            <v>601108000</v>
          </cell>
          <cell r="C280" t="str">
            <v>ACHAT MONCHONS</v>
          </cell>
          <cell r="D280">
            <v>0</v>
          </cell>
          <cell r="E280">
            <v>0</v>
          </cell>
          <cell r="F280">
            <v>0</v>
          </cell>
          <cell r="G280">
            <v>0</v>
          </cell>
          <cell r="H280">
            <v>0</v>
          </cell>
          <cell r="I280" t="str">
            <v>Achats d'Approvisionnement Consommés</v>
          </cell>
          <cell r="J280">
            <v>0</v>
          </cell>
          <cell r="K280">
            <v>0</v>
          </cell>
          <cell r="L280">
            <v>0</v>
          </cell>
          <cell r="M280">
            <v>0</v>
          </cell>
        </row>
        <row r="281">
          <cell r="B281">
            <v>601109000</v>
          </cell>
          <cell r="C281" t="str">
            <v>ACHAT ETIQUETTES</v>
          </cell>
          <cell r="D281">
            <v>195154.696</v>
          </cell>
          <cell r="E281">
            <v>0</v>
          </cell>
          <cell r="F281">
            <v>0</v>
          </cell>
          <cell r="G281">
            <v>0</v>
          </cell>
          <cell r="H281">
            <v>195154.696</v>
          </cell>
          <cell r="I281" t="str">
            <v>Achats d'Approvisionnement Consommés</v>
          </cell>
          <cell r="J281">
            <v>195154.696</v>
          </cell>
          <cell r="K281">
            <v>0</v>
          </cell>
          <cell r="L281">
            <v>0</v>
          </cell>
          <cell r="M281">
            <v>195154.696</v>
          </cell>
        </row>
        <row r="282">
          <cell r="B282">
            <v>601110000</v>
          </cell>
          <cell r="C282" t="str">
            <v>ACHAT CARTES DE GARANTIE</v>
          </cell>
          <cell r="D282">
            <v>14429.423999999999</v>
          </cell>
          <cell r="E282">
            <v>0</v>
          </cell>
          <cell r="F282">
            <v>0</v>
          </cell>
          <cell r="G282">
            <v>0</v>
          </cell>
          <cell r="H282">
            <v>14429.423999999999</v>
          </cell>
          <cell r="I282" t="str">
            <v>Achats d'Approvisionnement Consommés</v>
          </cell>
          <cell r="J282">
            <v>14429.423999999999</v>
          </cell>
          <cell r="K282">
            <v>0</v>
          </cell>
          <cell r="L282">
            <v>0</v>
          </cell>
          <cell r="M282">
            <v>14429.423999999999</v>
          </cell>
        </row>
        <row r="283">
          <cell r="B283">
            <v>601200000</v>
          </cell>
          <cell r="C283" t="str">
            <v>MATIERE PREM.ETRANGERS</v>
          </cell>
          <cell r="H283">
            <v>0</v>
          </cell>
          <cell r="I283" t="str">
            <v>Achats d'Approvisionnement Consommés</v>
          </cell>
          <cell r="J283">
            <v>0</v>
          </cell>
          <cell r="K283">
            <v>0</v>
          </cell>
          <cell r="L283">
            <v>0</v>
          </cell>
          <cell r="M283">
            <v>0</v>
          </cell>
        </row>
        <row r="284">
          <cell r="B284">
            <v>601201000</v>
          </cell>
          <cell r="C284" t="str">
            <v>ACHAT SEPARATEURS</v>
          </cell>
          <cell r="D284">
            <v>859394.5028914999</v>
          </cell>
          <cell r="E284">
            <v>0</v>
          </cell>
          <cell r="F284">
            <v>0</v>
          </cell>
          <cell r="G284">
            <v>0</v>
          </cell>
          <cell r="H284">
            <v>859394.5028914999</v>
          </cell>
          <cell r="I284" t="str">
            <v>Achats d'Approvisionnement Consommés</v>
          </cell>
          <cell r="J284">
            <v>859394.5028914999</v>
          </cell>
          <cell r="K284">
            <v>0</v>
          </cell>
          <cell r="L284">
            <v>0</v>
          </cell>
          <cell r="M284">
            <v>859394.5028914999</v>
          </cell>
        </row>
        <row r="285">
          <cell r="B285">
            <v>601200100</v>
          </cell>
          <cell r="C285" t="str">
            <v>ACHAT PLAQUES FORMEES</v>
          </cell>
          <cell r="D285">
            <v>159397.28525000002</v>
          </cell>
          <cell r="E285">
            <v>0</v>
          </cell>
          <cell r="F285">
            <v>0</v>
          </cell>
          <cell r="G285">
            <v>0</v>
          </cell>
          <cell r="H285">
            <v>159397.28525000002</v>
          </cell>
          <cell r="I285" t="str">
            <v>Achats d'Approvisionnement Consommés</v>
          </cell>
          <cell r="J285">
            <v>159397.28525000002</v>
          </cell>
          <cell r="K285">
            <v>0</v>
          </cell>
          <cell r="L285">
            <v>0</v>
          </cell>
          <cell r="M285">
            <v>159397.28525000002</v>
          </cell>
        </row>
        <row r="286">
          <cell r="B286">
            <v>601202000</v>
          </cell>
          <cell r="C286" t="str">
            <v>DECHET D'ALUMINIUM</v>
          </cell>
          <cell r="H286">
            <v>0</v>
          </cell>
          <cell r="J286">
            <v>0</v>
          </cell>
          <cell r="K286">
            <v>0</v>
          </cell>
          <cell r="L286">
            <v>0</v>
          </cell>
          <cell r="M286">
            <v>0</v>
          </cell>
        </row>
        <row r="287">
          <cell r="B287">
            <v>601203000</v>
          </cell>
          <cell r="C287" t="str">
            <v>ACHAT Dechets Batteries</v>
          </cell>
          <cell r="D287">
            <v>11179662.466</v>
          </cell>
          <cell r="E287">
            <v>0</v>
          </cell>
          <cell r="F287">
            <v>0</v>
          </cell>
          <cell r="G287">
            <v>0</v>
          </cell>
          <cell r="H287">
            <v>11179662.466</v>
          </cell>
          <cell r="I287" t="str">
            <v>Achats d'Approvisionnement Consommés</v>
          </cell>
          <cell r="J287">
            <v>11179662.466</v>
          </cell>
          <cell r="K287">
            <v>0</v>
          </cell>
          <cell r="L287">
            <v>0</v>
          </cell>
          <cell r="M287">
            <v>11179662.466</v>
          </cell>
        </row>
        <row r="288">
          <cell r="B288">
            <v>601204000</v>
          </cell>
          <cell r="C288" t="str">
            <v>ACHAT PLOMB D'OEUVRE[</v>
          </cell>
          <cell r="D288">
            <v>1613877.7250000001</v>
          </cell>
          <cell r="E288">
            <v>0</v>
          </cell>
          <cell r="F288">
            <v>0</v>
          </cell>
          <cell r="G288">
            <v>0</v>
          </cell>
          <cell r="H288">
            <v>1613877.7250000001</v>
          </cell>
          <cell r="I288" t="str">
            <v>Achats d'Approvisionnement Consommés</v>
          </cell>
          <cell r="J288">
            <v>1613877.7250000001</v>
          </cell>
          <cell r="K288">
            <v>0</v>
          </cell>
          <cell r="L288">
            <v>0</v>
          </cell>
          <cell r="M288">
            <v>1613877.7250000001</v>
          </cell>
        </row>
        <row r="289">
          <cell r="B289">
            <v>601205000</v>
          </cell>
          <cell r="C289" t="str">
            <v>ACHAT CRASSE</v>
          </cell>
          <cell r="D289">
            <v>57064</v>
          </cell>
          <cell r="E289">
            <v>0</v>
          </cell>
          <cell r="F289">
            <v>0</v>
          </cell>
          <cell r="G289">
            <v>0</v>
          </cell>
          <cell r="H289">
            <v>57064</v>
          </cell>
          <cell r="I289" t="str">
            <v>Achats d'Approvisionnement Consommés</v>
          </cell>
          <cell r="J289">
            <v>57064</v>
          </cell>
          <cell r="K289">
            <v>0</v>
          </cell>
          <cell r="L289">
            <v>0</v>
          </cell>
          <cell r="M289">
            <v>57064</v>
          </cell>
        </row>
        <row r="290">
          <cell r="B290">
            <v>601208000</v>
          </cell>
          <cell r="C290" t="str">
            <v>ACHAT ETAIN</v>
          </cell>
          <cell r="D290">
            <v>809867</v>
          </cell>
          <cell r="E290">
            <v>0</v>
          </cell>
          <cell r="F290">
            <v>0</v>
          </cell>
          <cell r="G290">
            <v>0</v>
          </cell>
          <cell r="H290">
            <v>809867</v>
          </cell>
          <cell r="I290" t="str">
            <v>Achats d'Approvisionnement Consommés</v>
          </cell>
          <cell r="J290">
            <v>809867</v>
          </cell>
          <cell r="K290">
            <v>0</v>
          </cell>
          <cell r="L290">
            <v>0</v>
          </cell>
          <cell r="M290">
            <v>809867</v>
          </cell>
        </row>
        <row r="291">
          <cell r="B291">
            <v>601209000</v>
          </cell>
          <cell r="C291" t="str">
            <v>ACHAT ANTIMOINE</v>
          </cell>
          <cell r="D291">
            <v>19483.77</v>
          </cell>
          <cell r="E291">
            <v>0</v>
          </cell>
          <cell r="F291">
            <v>0</v>
          </cell>
          <cell r="G291">
            <v>0</v>
          </cell>
          <cell r="H291">
            <v>19483.77</v>
          </cell>
          <cell r="I291" t="str">
            <v>Achats d'Approvisionnement Consommés</v>
          </cell>
          <cell r="J291">
            <v>19483.77</v>
          </cell>
          <cell r="K291">
            <v>0</v>
          </cell>
          <cell r="L291">
            <v>0</v>
          </cell>
          <cell r="M291">
            <v>19483.77</v>
          </cell>
        </row>
        <row r="292">
          <cell r="B292">
            <v>601210050</v>
          </cell>
          <cell r="C292" t="str">
            <v>Achat Oxyde Rouge</v>
          </cell>
          <cell r="D292">
            <v>0</v>
          </cell>
          <cell r="E292">
            <v>0</v>
          </cell>
          <cell r="F292">
            <v>0</v>
          </cell>
          <cell r="G292">
            <v>0</v>
          </cell>
          <cell r="H292">
            <v>0</v>
          </cell>
          <cell r="I292" t="str">
            <v>Achats d'Approvisionnement Consommés</v>
          </cell>
          <cell r="J292">
            <v>0</v>
          </cell>
          <cell r="K292">
            <v>0</v>
          </cell>
          <cell r="L292">
            <v>0</v>
          </cell>
          <cell r="M292">
            <v>0</v>
          </cell>
        </row>
        <row r="293">
          <cell r="B293">
            <v>601210100</v>
          </cell>
          <cell r="C293" t="str">
            <v>ACHAT PLOMB DOUX IMPORTE</v>
          </cell>
          <cell r="D293">
            <v>0</v>
          </cell>
          <cell r="E293">
            <v>0</v>
          </cell>
          <cell r="F293">
            <v>0</v>
          </cell>
          <cell r="G293">
            <v>0</v>
          </cell>
          <cell r="H293">
            <v>0</v>
          </cell>
          <cell r="J293">
            <v>0</v>
          </cell>
          <cell r="K293">
            <v>0</v>
          </cell>
          <cell r="L293">
            <v>0</v>
          </cell>
          <cell r="M293">
            <v>0</v>
          </cell>
        </row>
        <row r="294">
          <cell r="B294">
            <v>601210200</v>
          </cell>
          <cell r="C294" t="str">
            <v>ACHAT PLOMB DOUX LOCAL</v>
          </cell>
          <cell r="D294">
            <v>0</v>
          </cell>
          <cell r="E294">
            <v>0</v>
          </cell>
          <cell r="F294">
            <v>0</v>
          </cell>
          <cell r="G294">
            <v>0</v>
          </cell>
          <cell r="H294">
            <v>0</v>
          </cell>
          <cell r="J294">
            <v>0</v>
          </cell>
          <cell r="K294">
            <v>0</v>
          </cell>
          <cell r="L294">
            <v>0</v>
          </cell>
          <cell r="M294">
            <v>0</v>
          </cell>
        </row>
        <row r="295">
          <cell r="B295">
            <v>601210300</v>
          </cell>
          <cell r="C295" t="str">
            <v>ACTB ACTIVITE BANDE</v>
          </cell>
          <cell r="D295">
            <v>119183.92103799999</v>
          </cell>
          <cell r="E295">
            <v>0</v>
          </cell>
          <cell r="F295">
            <v>0</v>
          </cell>
          <cell r="G295">
            <v>0</v>
          </cell>
          <cell r="H295">
            <v>119183.92103799999</v>
          </cell>
          <cell r="I295" t="str">
            <v>Achats d'Approvisionnement Consommés</v>
          </cell>
          <cell r="J295">
            <v>119183.92103799999</v>
          </cell>
          <cell r="K295">
            <v>0</v>
          </cell>
          <cell r="L295">
            <v>0</v>
          </cell>
          <cell r="M295">
            <v>119183.92103799999</v>
          </cell>
        </row>
        <row r="296">
          <cell r="B296">
            <v>601210400</v>
          </cell>
          <cell r="C296" t="str">
            <v>ACHAT PLAQUES</v>
          </cell>
          <cell r="D296">
            <v>378685.18899999995</v>
          </cell>
          <cell r="E296">
            <v>0</v>
          </cell>
          <cell r="F296">
            <v>0</v>
          </cell>
          <cell r="G296">
            <v>0</v>
          </cell>
          <cell r="H296">
            <v>378685.18899999995</v>
          </cell>
          <cell r="I296" t="str">
            <v>Achats d'Approvisionnement Consommés</v>
          </cell>
          <cell r="J296">
            <v>378685.18899999995</v>
          </cell>
          <cell r="K296">
            <v>0</v>
          </cell>
          <cell r="L296">
            <v>0</v>
          </cell>
          <cell r="M296">
            <v>378685.18899999995</v>
          </cell>
        </row>
        <row r="297">
          <cell r="B297">
            <v>601211000</v>
          </cell>
          <cell r="C297" t="str">
            <v>ACTN ACTIVITE  FORMATION</v>
          </cell>
          <cell r="H297">
            <v>0</v>
          </cell>
          <cell r="I297" t="str">
            <v>Achats d'Approvisionnement Consommés</v>
          </cell>
          <cell r="J297">
            <v>0</v>
          </cell>
          <cell r="K297">
            <v>0</v>
          </cell>
          <cell r="L297">
            <v>0</v>
          </cell>
          <cell r="M297">
            <v>0</v>
          </cell>
        </row>
        <row r="298">
          <cell r="B298">
            <v>601212000</v>
          </cell>
          <cell r="C298" t="str">
            <v>ACHAT NOIR DE FUMEE</v>
          </cell>
          <cell r="H298">
            <v>0</v>
          </cell>
          <cell r="J298">
            <v>0</v>
          </cell>
          <cell r="K298">
            <v>0</v>
          </cell>
          <cell r="L298">
            <v>0</v>
          </cell>
          <cell r="M298">
            <v>0</v>
          </cell>
        </row>
        <row r="299">
          <cell r="B299">
            <v>601212100</v>
          </cell>
          <cell r="C299" t="str">
            <v>ACTN ACTIVITE  FORMATION</v>
          </cell>
          <cell r="D299">
            <v>71395.054927999998</v>
          </cell>
          <cell r="E299">
            <v>0</v>
          </cell>
          <cell r="F299">
            <v>0</v>
          </cell>
          <cell r="G299">
            <v>0</v>
          </cell>
          <cell r="H299">
            <v>71395.054927999998</v>
          </cell>
          <cell r="I299" t="str">
            <v>Achats d'Approvisionnement Consommés</v>
          </cell>
          <cell r="J299">
            <v>71395.054927999998</v>
          </cell>
          <cell r="K299">
            <v>0</v>
          </cell>
          <cell r="L299">
            <v>0</v>
          </cell>
          <cell r="M299">
            <v>71395.054927999998</v>
          </cell>
        </row>
        <row r="300">
          <cell r="B300">
            <v>601214000</v>
          </cell>
          <cell r="C300" t="str">
            <v>ACHAT FIBRE DE VERRE</v>
          </cell>
          <cell r="D300">
            <v>48229.558439999993</v>
          </cell>
          <cell r="E300">
            <v>0</v>
          </cell>
          <cell r="F300">
            <v>0</v>
          </cell>
          <cell r="G300">
            <v>0</v>
          </cell>
          <cell r="H300">
            <v>48229.558439999993</v>
          </cell>
          <cell r="I300" t="str">
            <v>Achats d'Approvisionnement Consommés</v>
          </cell>
          <cell r="J300">
            <v>48229.558439999993</v>
          </cell>
          <cell r="K300">
            <v>0</v>
          </cell>
          <cell r="L300">
            <v>0</v>
          </cell>
          <cell r="M300">
            <v>48229.558439999993</v>
          </cell>
        </row>
        <row r="301">
          <cell r="B301">
            <v>601215000</v>
          </cell>
          <cell r="C301" t="str">
            <v>ACID ACIDE</v>
          </cell>
          <cell r="D301">
            <v>186225</v>
          </cell>
          <cell r="E301">
            <v>0</v>
          </cell>
          <cell r="F301">
            <v>0</v>
          </cell>
          <cell r="G301">
            <v>0</v>
          </cell>
          <cell r="H301">
            <v>186225</v>
          </cell>
          <cell r="I301" t="str">
            <v>Achats d'Approvisionnement Consommés</v>
          </cell>
          <cell r="J301">
            <v>186225</v>
          </cell>
          <cell r="K301">
            <v>0</v>
          </cell>
          <cell r="L301">
            <v>0</v>
          </cell>
          <cell r="M301">
            <v>186225</v>
          </cell>
        </row>
        <row r="302">
          <cell r="B302">
            <v>601216000</v>
          </cell>
          <cell r="C302" t="str">
            <v>ACIDE SULFIRIQUE</v>
          </cell>
          <cell r="D302">
            <v>608595.4</v>
          </cell>
          <cell r="E302">
            <v>0</v>
          </cell>
          <cell r="F302">
            <v>0</v>
          </cell>
          <cell r="G302">
            <v>0</v>
          </cell>
          <cell r="H302">
            <v>608595.4</v>
          </cell>
          <cell r="I302" t="str">
            <v>Achats d'Approvisionnement Consommés</v>
          </cell>
          <cell r="J302">
            <v>608595.4</v>
          </cell>
          <cell r="K302">
            <v>0</v>
          </cell>
          <cell r="L302">
            <v>0</v>
          </cell>
          <cell r="M302">
            <v>608595.4</v>
          </cell>
        </row>
        <row r="303">
          <cell r="B303">
            <v>601217000</v>
          </cell>
          <cell r="C303" t="str">
            <v>ACHAT ACIDE BORIQUE</v>
          </cell>
          <cell r="F303">
            <v>0</v>
          </cell>
          <cell r="I303" t="str">
            <v>Achats d'Approvisionnement Consommés</v>
          </cell>
          <cell r="J303">
            <v>0</v>
          </cell>
          <cell r="K303">
            <v>0</v>
          </cell>
          <cell r="L303">
            <v>0</v>
          </cell>
          <cell r="M303">
            <v>0</v>
          </cell>
        </row>
        <row r="304">
          <cell r="B304">
            <v>601219000</v>
          </cell>
          <cell r="C304" t="str">
            <v>ACHAT SOUDE CAUSTIQUE</v>
          </cell>
          <cell r="D304">
            <v>309053.95</v>
          </cell>
          <cell r="E304">
            <v>0</v>
          </cell>
          <cell r="F304">
            <v>0</v>
          </cell>
          <cell r="G304">
            <v>0</v>
          </cell>
          <cell r="H304">
            <v>309053.95</v>
          </cell>
          <cell r="I304" t="str">
            <v>Achats d'Approvisionnement Consommés</v>
          </cell>
          <cell r="J304">
            <v>309053.95</v>
          </cell>
          <cell r="K304">
            <v>0</v>
          </cell>
          <cell r="L304">
            <v>0</v>
          </cell>
          <cell r="M304">
            <v>309053.95</v>
          </cell>
        </row>
        <row r="305">
          <cell r="B305">
            <v>601220000</v>
          </cell>
          <cell r="C305" t="str">
            <v>ACIDE CHLORHYDRIQUE</v>
          </cell>
          <cell r="H305">
            <v>0</v>
          </cell>
          <cell r="I305" t="str">
            <v>Achats d'Approvisionnement Consommés</v>
          </cell>
          <cell r="J305">
            <v>0</v>
          </cell>
          <cell r="K305">
            <v>0</v>
          </cell>
          <cell r="L305">
            <v>0</v>
          </cell>
          <cell r="M305">
            <v>0</v>
          </cell>
        </row>
        <row r="306">
          <cell r="B306">
            <v>601221000</v>
          </cell>
          <cell r="C306" t="str">
            <v>ACHAT CARBONATE DE SOUDE</v>
          </cell>
          <cell r="D306">
            <v>118149.99999999997</v>
          </cell>
          <cell r="E306">
            <v>0</v>
          </cell>
          <cell r="F306">
            <v>0</v>
          </cell>
          <cell r="G306">
            <v>0</v>
          </cell>
          <cell r="H306">
            <v>118149.99999999997</v>
          </cell>
          <cell r="I306" t="str">
            <v>Achats d'Approvisionnement Consommés</v>
          </cell>
          <cell r="J306">
            <v>118149.99999999997</v>
          </cell>
          <cell r="K306">
            <v>0</v>
          </cell>
          <cell r="L306">
            <v>0</v>
          </cell>
          <cell r="M306">
            <v>118149.99999999997</v>
          </cell>
        </row>
        <row r="307">
          <cell r="B307">
            <v>601222000</v>
          </cell>
          <cell r="C307" t="str">
            <v>ACHAT BATTITURE DE FER</v>
          </cell>
          <cell r="D307">
            <v>27801.599999999999</v>
          </cell>
          <cell r="E307">
            <v>0</v>
          </cell>
          <cell r="F307">
            <v>0</v>
          </cell>
          <cell r="G307">
            <v>0</v>
          </cell>
          <cell r="H307">
            <v>27801.599999999999</v>
          </cell>
          <cell r="I307" t="str">
            <v>Achats d'Approvisionnement Consommés</v>
          </cell>
          <cell r="J307">
            <v>27801.599999999999</v>
          </cell>
          <cell r="K307">
            <v>0</v>
          </cell>
          <cell r="L307">
            <v>0</v>
          </cell>
          <cell r="M307">
            <v>27801.599999999999</v>
          </cell>
        </row>
        <row r="308">
          <cell r="B308">
            <v>601223000</v>
          </cell>
          <cell r="C308" t="str">
            <v>ACHAT SEL ADOUCISSEUR</v>
          </cell>
          <cell r="D308">
            <v>13020</v>
          </cell>
          <cell r="E308">
            <v>0</v>
          </cell>
          <cell r="F308">
            <v>0</v>
          </cell>
          <cell r="G308">
            <v>0</v>
          </cell>
          <cell r="H308">
            <v>13020</v>
          </cell>
          <cell r="I308" t="str">
            <v>Achats d'Approvisionnement Consommés</v>
          </cell>
          <cell r="J308">
            <v>13020</v>
          </cell>
          <cell r="K308">
            <v>0</v>
          </cell>
          <cell r="L308">
            <v>0</v>
          </cell>
          <cell r="M308">
            <v>13020</v>
          </cell>
        </row>
        <row r="309">
          <cell r="B309">
            <v>601224000</v>
          </cell>
          <cell r="C309" t="str">
            <v>ACHAT FLUX</v>
          </cell>
          <cell r="D309">
            <v>29796.452000000001</v>
          </cell>
          <cell r="E309">
            <v>0</v>
          </cell>
          <cell r="F309">
            <v>0</v>
          </cell>
          <cell r="G309">
            <v>0</v>
          </cell>
          <cell r="H309">
            <v>29796.452000000001</v>
          </cell>
          <cell r="I309" t="str">
            <v>Achats d'Approvisionnement Consommés</v>
          </cell>
          <cell r="J309">
            <v>29796.452000000001</v>
          </cell>
          <cell r="K309">
            <v>0</v>
          </cell>
          <cell r="L309">
            <v>0</v>
          </cell>
          <cell r="M309">
            <v>29796.452000000001</v>
          </cell>
        </row>
        <row r="310">
          <cell r="B310">
            <v>601225000</v>
          </cell>
          <cell r="C310" t="str">
            <v>ACHAT OXYGENE ET GAZ</v>
          </cell>
          <cell r="D310">
            <v>26811.23</v>
          </cell>
          <cell r="E310">
            <v>0</v>
          </cell>
          <cell r="F310">
            <v>0</v>
          </cell>
          <cell r="G310">
            <v>0</v>
          </cell>
          <cell r="H310">
            <v>26811.23</v>
          </cell>
          <cell r="I310" t="str">
            <v>Achats d'Approvisionnement Consommés</v>
          </cell>
          <cell r="J310">
            <v>26811.23</v>
          </cell>
          <cell r="K310">
            <v>0</v>
          </cell>
          <cell r="L310">
            <v>0</v>
          </cell>
          <cell r="M310">
            <v>26811.23</v>
          </cell>
        </row>
        <row r="311">
          <cell r="B311">
            <v>601226000</v>
          </cell>
          <cell r="C311" t="str">
            <v>ACHAT ACIDE ACETIQUE</v>
          </cell>
          <cell r="H311">
            <v>0</v>
          </cell>
          <cell r="I311" t="str">
            <v>Achats d'Approvisionnement Consommés</v>
          </cell>
          <cell r="J311">
            <v>0</v>
          </cell>
          <cell r="K311">
            <v>0</v>
          </cell>
          <cell r="L311">
            <v>0</v>
          </cell>
          <cell r="M311">
            <v>0</v>
          </cell>
        </row>
        <row r="312">
          <cell r="B312">
            <v>601227000</v>
          </cell>
          <cell r="C312" t="str">
            <v>ACHAT SOUFFRE</v>
          </cell>
          <cell r="D312">
            <v>9342.5</v>
          </cell>
          <cell r="E312">
            <v>0</v>
          </cell>
          <cell r="F312">
            <v>0</v>
          </cell>
          <cell r="G312">
            <v>0</v>
          </cell>
          <cell r="H312">
            <v>9342.5</v>
          </cell>
          <cell r="I312" t="str">
            <v>Achats d'Approvisionnement Consommés</v>
          </cell>
          <cell r="J312">
            <v>9342.5</v>
          </cell>
          <cell r="K312">
            <v>0</v>
          </cell>
          <cell r="L312">
            <v>0</v>
          </cell>
          <cell r="M312">
            <v>9342.5</v>
          </cell>
        </row>
        <row r="313">
          <cell r="B313">
            <v>601230000</v>
          </cell>
          <cell r="C313" t="str">
            <v>ACTP ACTIVITE PLAQUES</v>
          </cell>
          <cell r="H313">
            <v>0</v>
          </cell>
          <cell r="I313" t="str">
            <v>Achats d'Approvisionnement Consommés</v>
          </cell>
          <cell r="J313">
            <v>0</v>
          </cell>
          <cell r="K313">
            <v>0</v>
          </cell>
          <cell r="L313">
            <v>0</v>
          </cell>
          <cell r="M313">
            <v>0</v>
          </cell>
        </row>
        <row r="314">
          <cell r="B314">
            <v>601601100</v>
          </cell>
          <cell r="C314" t="str">
            <v>COUVRES COUVERCLES</v>
          </cell>
          <cell r="D314">
            <v>21670.010719999998</v>
          </cell>
          <cell r="E314">
            <v>0</v>
          </cell>
          <cell r="F314">
            <v>0</v>
          </cell>
          <cell r="G314">
            <v>0</v>
          </cell>
          <cell r="H314">
            <v>21670.010719999998</v>
          </cell>
          <cell r="I314" t="str">
            <v>Achats d'Approvisionnement Consommés</v>
          </cell>
          <cell r="J314">
            <v>21670.010719999998</v>
          </cell>
          <cell r="K314">
            <v>0</v>
          </cell>
          <cell r="L314">
            <v>0</v>
          </cell>
          <cell r="M314">
            <v>21670.010719999998</v>
          </cell>
        </row>
        <row r="315">
          <cell r="B315">
            <v>601900000</v>
          </cell>
          <cell r="C315" t="str">
            <v>FRAIS SUR ACHAT/MAT</v>
          </cell>
          <cell r="H315">
            <v>0</v>
          </cell>
          <cell r="I315" t="str">
            <v>Achats d'Approvisionnement Consommés</v>
          </cell>
          <cell r="J315">
            <v>0</v>
          </cell>
          <cell r="K315">
            <v>0</v>
          </cell>
          <cell r="L315">
            <v>0</v>
          </cell>
          <cell r="M315">
            <v>0</v>
          </cell>
        </row>
        <row r="316">
          <cell r="B316">
            <v>601910000</v>
          </cell>
          <cell r="C316" t="str">
            <v>FRAIS/ACHAT ETRANGER</v>
          </cell>
          <cell r="D316">
            <v>883702.9422685001</v>
          </cell>
          <cell r="E316">
            <v>0</v>
          </cell>
          <cell r="F316">
            <v>0</v>
          </cell>
          <cell r="G316">
            <v>0</v>
          </cell>
          <cell r="H316">
            <v>883702.9422685001</v>
          </cell>
          <cell r="I316" t="str">
            <v>Achats d'Approvisionnement Consommés</v>
          </cell>
          <cell r="J316">
            <v>883702.9422685001</v>
          </cell>
          <cell r="K316">
            <v>0</v>
          </cell>
          <cell r="L316">
            <v>0</v>
          </cell>
          <cell r="M316">
            <v>883702.9422685001</v>
          </cell>
        </row>
        <row r="317">
          <cell r="B317">
            <v>601920000</v>
          </cell>
          <cell r="C317" t="str">
            <v>FRAIS/VENTE EXPORT</v>
          </cell>
          <cell r="D317">
            <v>107548.558</v>
          </cell>
          <cell r="E317">
            <v>0</v>
          </cell>
          <cell r="F317">
            <v>0</v>
          </cell>
          <cell r="G317">
            <v>0</v>
          </cell>
          <cell r="H317">
            <v>107548.558</v>
          </cell>
          <cell r="I317" t="str">
            <v>Achats d'Approvisionnement Consommés</v>
          </cell>
          <cell r="J317">
            <v>107548.558</v>
          </cell>
          <cell r="K317">
            <v>0</v>
          </cell>
          <cell r="L317">
            <v>0</v>
          </cell>
          <cell r="M317">
            <v>107548.558</v>
          </cell>
        </row>
        <row r="318">
          <cell r="B318">
            <v>602000000</v>
          </cell>
          <cell r="C318" t="str">
            <v>ACHAT.STOC.AUT.APPR</v>
          </cell>
          <cell r="H318">
            <v>0</v>
          </cell>
          <cell r="I318" t="str">
            <v>Achats d'Approvisionnement Consommés</v>
          </cell>
          <cell r="J318">
            <v>0</v>
          </cell>
          <cell r="K318">
            <v>0</v>
          </cell>
          <cell r="L318">
            <v>0</v>
          </cell>
          <cell r="M318">
            <v>0</v>
          </cell>
        </row>
        <row r="319">
          <cell r="B319">
            <v>602100000</v>
          </cell>
          <cell r="C319" t="str">
            <v>MATIE.CONSOMMABLES</v>
          </cell>
          <cell r="H319">
            <v>0</v>
          </cell>
          <cell r="J319">
            <v>0</v>
          </cell>
          <cell r="K319">
            <v>0</v>
          </cell>
          <cell r="L319">
            <v>0</v>
          </cell>
          <cell r="M319">
            <v>0</v>
          </cell>
        </row>
        <row r="320">
          <cell r="B320">
            <v>602101000</v>
          </cell>
          <cell r="C320" t="str">
            <v>MAT.CONSOM.LOCALES</v>
          </cell>
          <cell r="H320">
            <v>0</v>
          </cell>
          <cell r="J320">
            <v>0</v>
          </cell>
          <cell r="K320">
            <v>0</v>
          </cell>
          <cell r="L320">
            <v>0</v>
          </cell>
          <cell r="M320">
            <v>0</v>
          </cell>
        </row>
        <row r="321">
          <cell r="B321">
            <v>602102000</v>
          </cell>
          <cell r="C321" t="str">
            <v>MAT.CONS.ETRANGERE</v>
          </cell>
          <cell r="H321">
            <v>0</v>
          </cell>
          <cell r="J321">
            <v>0</v>
          </cell>
          <cell r="K321">
            <v>0</v>
          </cell>
          <cell r="L321">
            <v>0</v>
          </cell>
          <cell r="M321">
            <v>0</v>
          </cell>
        </row>
        <row r="322">
          <cell r="B322">
            <v>602150000</v>
          </cell>
          <cell r="C322" t="str">
            <v>COKE ANTHRACITE</v>
          </cell>
          <cell r="D322">
            <v>434276.11312549998</v>
          </cell>
          <cell r="E322">
            <v>0</v>
          </cell>
          <cell r="F322">
            <v>0</v>
          </cell>
          <cell r="G322">
            <v>0</v>
          </cell>
          <cell r="H322">
            <v>434276.11312549998</v>
          </cell>
          <cell r="I322" t="str">
            <v>Achats d'Approvisionnement Consommés</v>
          </cell>
          <cell r="J322">
            <v>434276.11312549998</v>
          </cell>
          <cell r="K322">
            <v>0</v>
          </cell>
          <cell r="L322">
            <v>0</v>
          </cell>
          <cell r="M322">
            <v>434276.11312549998</v>
          </cell>
        </row>
        <row r="323">
          <cell r="B323">
            <v>602200000</v>
          </cell>
          <cell r="C323" t="str">
            <v>FOURNITUR.COSOMM.</v>
          </cell>
          <cell r="H323">
            <v>0</v>
          </cell>
          <cell r="I323" t="str">
            <v>Achats d'Approvisionnement Consommés</v>
          </cell>
          <cell r="J323">
            <v>0</v>
          </cell>
          <cell r="K323">
            <v>0</v>
          </cell>
          <cell r="L323">
            <v>0</v>
          </cell>
          <cell r="M323">
            <v>0</v>
          </cell>
        </row>
        <row r="324">
          <cell r="B324">
            <v>602201000</v>
          </cell>
          <cell r="C324" t="str">
            <v>FOURNITU.CONS.LOCA</v>
          </cell>
          <cell r="H324">
            <v>0</v>
          </cell>
          <cell r="J324">
            <v>0</v>
          </cell>
          <cell r="K324">
            <v>0</v>
          </cell>
          <cell r="L324">
            <v>0</v>
          </cell>
          <cell r="M324">
            <v>0</v>
          </cell>
        </row>
        <row r="325">
          <cell r="B325">
            <v>602202000</v>
          </cell>
          <cell r="C325" t="str">
            <v>FOURNI.CONS.ETRANGE</v>
          </cell>
          <cell r="H325">
            <v>0</v>
          </cell>
          <cell r="J325">
            <v>0</v>
          </cell>
          <cell r="K325">
            <v>0</v>
          </cell>
          <cell r="L325">
            <v>0</v>
          </cell>
          <cell r="M325">
            <v>0</v>
          </cell>
        </row>
        <row r="326">
          <cell r="B326">
            <v>602600000</v>
          </cell>
          <cell r="C326" t="str">
            <v>EMBALLAGES</v>
          </cell>
          <cell r="D326">
            <v>0</v>
          </cell>
          <cell r="E326">
            <v>0</v>
          </cell>
          <cell r="F326">
            <v>11227</v>
          </cell>
          <cell r="G326">
            <v>0</v>
          </cell>
          <cell r="H326">
            <v>11227</v>
          </cell>
          <cell r="I326" t="str">
            <v>Achats d'Approvisionnement Consommés</v>
          </cell>
          <cell r="J326">
            <v>11227</v>
          </cell>
          <cell r="K326">
            <v>0</v>
          </cell>
          <cell r="L326">
            <v>0</v>
          </cell>
          <cell r="M326">
            <v>11227</v>
          </cell>
        </row>
        <row r="327">
          <cell r="B327">
            <v>602601000</v>
          </cell>
          <cell r="C327" t="str">
            <v>EMBALLAGES LOCALES</v>
          </cell>
          <cell r="H327">
            <v>0</v>
          </cell>
          <cell r="I327" t="str">
            <v>Achats d'Approvisionnement Consommés</v>
          </cell>
          <cell r="J327">
            <v>0</v>
          </cell>
          <cell r="K327">
            <v>0</v>
          </cell>
          <cell r="L327">
            <v>0</v>
          </cell>
          <cell r="M327">
            <v>0</v>
          </cell>
        </row>
        <row r="328">
          <cell r="B328">
            <v>602603000</v>
          </cell>
          <cell r="C328" t="str">
            <v>Caissons en bois</v>
          </cell>
          <cell r="D328">
            <v>6032.91</v>
          </cell>
          <cell r="E328">
            <v>0</v>
          </cell>
          <cell r="F328">
            <v>0</v>
          </cell>
          <cell r="G328">
            <v>0</v>
          </cell>
          <cell r="H328">
            <v>6032.91</v>
          </cell>
          <cell r="I328" t="str">
            <v>Achats d'Approvisionnement Consommés</v>
          </cell>
          <cell r="J328">
            <v>6032.91</v>
          </cell>
          <cell r="K328">
            <v>0</v>
          </cell>
          <cell r="L328">
            <v>0</v>
          </cell>
          <cell r="M328">
            <v>6032.91</v>
          </cell>
        </row>
        <row r="329">
          <cell r="B329">
            <v>602604000</v>
          </cell>
          <cell r="C329" t="str">
            <v>FILM ETIRABLE</v>
          </cell>
          <cell r="D329">
            <v>68299.3</v>
          </cell>
          <cell r="E329">
            <v>0</v>
          </cell>
          <cell r="F329">
            <v>0</v>
          </cell>
          <cell r="G329">
            <v>0</v>
          </cell>
          <cell r="H329">
            <v>68299.3</v>
          </cell>
          <cell r="I329" t="str">
            <v>Achats d'Approvisionnement Consommés</v>
          </cell>
          <cell r="J329">
            <v>68299.3</v>
          </cell>
          <cell r="K329">
            <v>0</v>
          </cell>
          <cell r="L329">
            <v>0</v>
          </cell>
          <cell r="M329">
            <v>68299.3</v>
          </cell>
        </row>
        <row r="330">
          <cell r="B330">
            <v>602605000</v>
          </cell>
          <cell r="C330" t="str">
            <v>Film termoretractable</v>
          </cell>
          <cell r="D330">
            <v>39153.71</v>
          </cell>
          <cell r="E330">
            <v>0</v>
          </cell>
          <cell r="F330">
            <v>0</v>
          </cell>
          <cell r="G330">
            <v>0</v>
          </cell>
          <cell r="H330">
            <v>39153.71</v>
          </cell>
          <cell r="I330" t="str">
            <v>Achats d'Approvisionnement Consommés</v>
          </cell>
          <cell r="J330">
            <v>39153.71</v>
          </cell>
          <cell r="K330">
            <v>0</v>
          </cell>
          <cell r="L330">
            <v>0</v>
          </cell>
          <cell r="M330">
            <v>39153.71</v>
          </cell>
        </row>
        <row r="331">
          <cell r="B331">
            <v>602606000</v>
          </cell>
          <cell r="C331" t="str">
            <v>ACHAT FEUILLARD EMBALL.</v>
          </cell>
          <cell r="D331">
            <v>469.65000000000146</v>
          </cell>
          <cell r="E331">
            <v>0</v>
          </cell>
          <cell r="F331">
            <v>0</v>
          </cell>
          <cell r="G331">
            <v>0</v>
          </cell>
          <cell r="H331">
            <v>469.65000000000146</v>
          </cell>
          <cell r="I331" t="str">
            <v>Achats d'Approvisionnement Consommés</v>
          </cell>
          <cell r="J331">
            <v>469.65000000000146</v>
          </cell>
          <cell r="K331">
            <v>0</v>
          </cell>
          <cell r="L331">
            <v>0</v>
          </cell>
          <cell r="M331">
            <v>469.65000000000146</v>
          </cell>
        </row>
        <row r="332">
          <cell r="B332">
            <v>602607000</v>
          </cell>
          <cell r="C332" t="str">
            <v>ACHAT BIG BAG</v>
          </cell>
          <cell r="D332">
            <v>46817.990999999995</v>
          </cell>
          <cell r="E332">
            <v>0</v>
          </cell>
          <cell r="F332">
            <v>0</v>
          </cell>
          <cell r="G332">
            <v>0</v>
          </cell>
          <cell r="H332">
            <v>46817.990999999995</v>
          </cell>
          <cell r="I332" t="str">
            <v>Achats d'Approvisionnement Consommés</v>
          </cell>
          <cell r="J332">
            <v>46817.990999999995</v>
          </cell>
          <cell r="K332">
            <v>0</v>
          </cell>
          <cell r="L332">
            <v>0</v>
          </cell>
          <cell r="M332">
            <v>46817.990999999995</v>
          </cell>
        </row>
        <row r="333">
          <cell r="B333">
            <v>602620000</v>
          </cell>
          <cell r="C333" t="str">
            <v>ACHAT PALETTES EN BOIS</v>
          </cell>
          <cell r="D333">
            <v>79102.824999999997</v>
          </cell>
          <cell r="E333">
            <v>0</v>
          </cell>
          <cell r="F333">
            <v>0</v>
          </cell>
          <cell r="G333">
            <v>0</v>
          </cell>
          <cell r="H333">
            <v>79102.824999999997</v>
          </cell>
          <cell r="I333" t="str">
            <v>Achats d'Approvisionnement Consommés</v>
          </cell>
          <cell r="J333">
            <v>79102.824999999997</v>
          </cell>
          <cell r="K333">
            <v>0</v>
          </cell>
          <cell r="L333">
            <v>0</v>
          </cell>
          <cell r="M333">
            <v>79102.824999999997</v>
          </cell>
        </row>
        <row r="334">
          <cell r="B334">
            <v>602630000</v>
          </cell>
          <cell r="C334" t="str">
            <v>PLAQUE POLYESTER</v>
          </cell>
          <cell r="D334">
            <v>28342.7</v>
          </cell>
          <cell r="E334">
            <v>0</v>
          </cell>
          <cell r="F334">
            <v>0</v>
          </cell>
          <cell r="G334">
            <v>0</v>
          </cell>
          <cell r="H334">
            <v>28342.7</v>
          </cell>
          <cell r="I334" t="str">
            <v>Achats d'Approvisionnement Consommés</v>
          </cell>
          <cell r="J334">
            <v>28342.7</v>
          </cell>
          <cell r="K334">
            <v>0</v>
          </cell>
          <cell r="L334">
            <v>0</v>
          </cell>
          <cell r="M334">
            <v>28342.7</v>
          </cell>
        </row>
        <row r="335">
          <cell r="B335">
            <v>602700000</v>
          </cell>
          <cell r="C335" t="str">
            <v>MATERIEL DE SECURITE</v>
          </cell>
          <cell r="D335">
            <v>106468.821</v>
          </cell>
          <cell r="E335">
            <v>0</v>
          </cell>
          <cell r="F335">
            <v>0</v>
          </cell>
          <cell r="G335">
            <v>0</v>
          </cell>
          <cell r="H335">
            <v>106468.821</v>
          </cell>
          <cell r="I335" t="str">
            <v>Achats d'Approvisionnement Consommés</v>
          </cell>
          <cell r="J335">
            <v>106468.821</v>
          </cell>
          <cell r="K335">
            <v>0</v>
          </cell>
          <cell r="L335">
            <v>0</v>
          </cell>
          <cell r="M335">
            <v>106468.821</v>
          </cell>
        </row>
        <row r="336">
          <cell r="B336">
            <v>603100000</v>
          </cell>
          <cell r="C336" t="str">
            <v>VAR.STO.MAT.PRE&amp;FOU</v>
          </cell>
          <cell r="D336">
            <v>83091.117999998853</v>
          </cell>
          <cell r="E336">
            <v>0</v>
          </cell>
          <cell r="F336">
            <v>0</v>
          </cell>
          <cell r="G336">
            <v>0</v>
          </cell>
          <cell r="H336">
            <v>83091.117999998853</v>
          </cell>
          <cell r="I336" t="str">
            <v>Achats d'Approvisionnement Consommés</v>
          </cell>
          <cell r="J336">
            <v>83091.117999998853</v>
          </cell>
          <cell r="K336">
            <v>0</v>
          </cell>
          <cell r="L336">
            <v>0</v>
          </cell>
          <cell r="M336">
            <v>83091.117999998853</v>
          </cell>
        </row>
        <row r="337">
          <cell r="B337">
            <v>603102000</v>
          </cell>
          <cell r="C337" t="str">
            <v>ECART SUR PRIX STANDARD</v>
          </cell>
          <cell r="H337">
            <v>0</v>
          </cell>
          <cell r="J337">
            <v>0</v>
          </cell>
          <cell r="K337">
            <v>0</v>
          </cell>
          <cell r="L337">
            <v>0</v>
          </cell>
          <cell r="M337">
            <v>0</v>
          </cell>
        </row>
        <row r="338">
          <cell r="B338">
            <v>603300000</v>
          </cell>
          <cell r="C338" t="str">
            <v>VARIATION STOCK PDR</v>
          </cell>
          <cell r="D338">
            <v>-128686.58100000001</v>
          </cell>
          <cell r="E338">
            <v>0</v>
          </cell>
          <cell r="F338">
            <v>0</v>
          </cell>
          <cell r="G338">
            <v>0</v>
          </cell>
          <cell r="H338">
            <v>-128686.58100000001</v>
          </cell>
          <cell r="I338" t="str">
            <v>Achats d'Approvisionnement Consommés</v>
          </cell>
          <cell r="J338">
            <v>-128686.58100000001</v>
          </cell>
          <cell r="K338">
            <v>0</v>
          </cell>
          <cell r="L338">
            <v>0</v>
          </cell>
          <cell r="M338">
            <v>-128686.58100000001</v>
          </cell>
        </row>
        <row r="339">
          <cell r="B339">
            <v>603700000</v>
          </cell>
          <cell r="C339" t="str">
            <v>VAR.DES STOC DE MARC</v>
          </cell>
          <cell r="D339">
            <v>0</v>
          </cell>
          <cell r="E339">
            <v>0</v>
          </cell>
          <cell r="F339">
            <v>-659145.27399999998</v>
          </cell>
          <cell r="G339">
            <v>0</v>
          </cell>
          <cell r="H339">
            <v>-659145.27399999998</v>
          </cell>
          <cell r="I339" t="str">
            <v>Achats d'Approvisionnement Consommés</v>
          </cell>
          <cell r="J339">
            <v>-659145.27399999998</v>
          </cell>
          <cell r="K339">
            <v>440594.46550000005</v>
          </cell>
          <cell r="L339">
            <v>330736.91983333341</v>
          </cell>
          <cell r="M339">
            <v>-549287.72833333327</v>
          </cell>
        </row>
        <row r="340">
          <cell r="B340">
            <v>604000000</v>
          </cell>
          <cell r="C340" t="str">
            <v>ACH. D'ETU.DE PRES.DE SE</v>
          </cell>
          <cell r="H340">
            <v>0</v>
          </cell>
          <cell r="I340" t="str">
            <v>Achats d'Approvisionnement Consommés</v>
          </cell>
          <cell r="J340">
            <v>0</v>
          </cell>
          <cell r="K340">
            <v>0</v>
          </cell>
          <cell r="L340">
            <v>0</v>
          </cell>
          <cell r="M340">
            <v>0</v>
          </cell>
        </row>
        <row r="341">
          <cell r="B341">
            <v>604010000</v>
          </cell>
          <cell r="C341" t="str">
            <v>achat de sous traitance de production</v>
          </cell>
          <cell r="D341">
            <v>118305.231</v>
          </cell>
          <cell r="E341">
            <v>0</v>
          </cell>
          <cell r="F341">
            <v>0</v>
          </cell>
          <cell r="G341">
            <v>0</v>
          </cell>
          <cell r="H341">
            <v>118305.231</v>
          </cell>
          <cell r="I341" t="str">
            <v>Achats d'Approvisionnement Consommés</v>
          </cell>
          <cell r="J341">
            <v>118305.231</v>
          </cell>
          <cell r="K341">
            <v>0</v>
          </cell>
          <cell r="L341">
            <v>118305.23</v>
          </cell>
          <cell r="M341">
            <v>1.0000000038417056E-3</v>
          </cell>
        </row>
        <row r="342">
          <cell r="B342">
            <v>605000000</v>
          </cell>
          <cell r="C342" t="str">
            <v>ACH.DE MAT.EQU&amp;TRAV</v>
          </cell>
          <cell r="D342">
            <v>0</v>
          </cell>
          <cell r="E342">
            <v>0</v>
          </cell>
          <cell r="F342">
            <v>4786.7910000000002</v>
          </cell>
          <cell r="G342">
            <v>21027.851999999999</v>
          </cell>
          <cell r="H342">
            <v>25814.643</v>
          </cell>
          <cell r="I342" t="str">
            <v>Achats d'Approvisionnement Consommés</v>
          </cell>
          <cell r="J342">
            <v>25814.643</v>
          </cell>
          <cell r="K342">
            <v>0</v>
          </cell>
          <cell r="L342">
            <v>0</v>
          </cell>
          <cell r="M342">
            <v>25814.643</v>
          </cell>
        </row>
        <row r="343">
          <cell r="B343">
            <v>605020000</v>
          </cell>
          <cell r="C343" t="str">
            <v>PIECE DE RECHGE USINE</v>
          </cell>
          <cell r="D343">
            <v>565343.46707500005</v>
          </cell>
          <cell r="E343">
            <v>0</v>
          </cell>
          <cell r="F343">
            <v>0</v>
          </cell>
          <cell r="G343">
            <v>0</v>
          </cell>
          <cell r="H343">
            <v>565343.46707500005</v>
          </cell>
          <cell r="I343" t="str">
            <v>Achats d'Approvisionnement Consommés</v>
          </cell>
          <cell r="J343">
            <v>565343.46707500005</v>
          </cell>
          <cell r="K343">
            <v>0</v>
          </cell>
          <cell r="L343">
            <v>0</v>
          </cell>
          <cell r="M343">
            <v>565343.46707500005</v>
          </cell>
        </row>
        <row r="344">
          <cell r="B344">
            <v>605030000</v>
          </cell>
          <cell r="C344" t="str">
            <v>OUTILLAGE USINE</v>
          </cell>
          <cell r="H344">
            <v>0</v>
          </cell>
          <cell r="I344" t="str">
            <v>Achats d'Approvisionnement Consommés</v>
          </cell>
          <cell r="J344">
            <v>0</v>
          </cell>
          <cell r="K344">
            <v>0</v>
          </cell>
          <cell r="L344">
            <v>0</v>
          </cell>
          <cell r="M344">
            <v>0</v>
          </cell>
        </row>
        <row r="345">
          <cell r="B345">
            <v>605040000</v>
          </cell>
          <cell r="C345" t="str">
            <v>OUTILLAGE NOUVELLE USINE</v>
          </cell>
          <cell r="D345">
            <v>126782.70899999999</v>
          </cell>
          <cell r="E345">
            <v>0</v>
          </cell>
          <cell r="F345">
            <v>0</v>
          </cell>
          <cell r="G345">
            <v>0</v>
          </cell>
          <cell r="H345">
            <v>126782.70899999999</v>
          </cell>
          <cell r="I345" t="str">
            <v>Achats d'Approvisionnement Consommés</v>
          </cell>
          <cell r="J345">
            <v>126782.70899999999</v>
          </cell>
          <cell r="K345">
            <v>0</v>
          </cell>
          <cell r="L345">
            <v>0</v>
          </cell>
          <cell r="M345">
            <v>126782.70899999999</v>
          </cell>
        </row>
        <row r="346">
          <cell r="B346">
            <v>606000000</v>
          </cell>
          <cell r="C346" t="str">
            <v>ACH.N.STOC.MAT&amp;FOUR</v>
          </cell>
          <cell r="D346">
            <v>0</v>
          </cell>
          <cell r="E346">
            <v>0</v>
          </cell>
          <cell r="F346">
            <v>10161.01</v>
          </cell>
          <cell r="G346">
            <v>0</v>
          </cell>
          <cell r="H346">
            <v>10161.01</v>
          </cell>
          <cell r="I346" t="str">
            <v>Achats d'Approvisionnement Consommés</v>
          </cell>
          <cell r="J346">
            <v>10161.01</v>
          </cell>
          <cell r="K346">
            <v>0</v>
          </cell>
          <cell r="L346">
            <v>0</v>
          </cell>
          <cell r="M346">
            <v>10161.01</v>
          </cell>
        </row>
        <row r="347">
          <cell r="B347">
            <v>606110000</v>
          </cell>
          <cell r="C347" t="str">
            <v>ELECTRICITE</v>
          </cell>
          <cell r="D347">
            <v>1054794.3589999999</v>
          </cell>
          <cell r="E347">
            <v>0</v>
          </cell>
          <cell r="F347">
            <v>10742.311</v>
          </cell>
          <cell r="G347">
            <v>0</v>
          </cell>
          <cell r="H347">
            <v>1065536.67</v>
          </cell>
          <cell r="I347" t="str">
            <v>Achats d'Approvisionnement Consommés</v>
          </cell>
          <cell r="J347">
            <v>1065536.67</v>
          </cell>
          <cell r="K347">
            <v>0</v>
          </cell>
          <cell r="L347">
            <v>0</v>
          </cell>
          <cell r="M347">
            <v>1065536.67</v>
          </cell>
        </row>
        <row r="348">
          <cell r="B348">
            <v>606120000</v>
          </cell>
          <cell r="C348" t="str">
            <v>EAU</v>
          </cell>
          <cell r="D348">
            <v>57072.245000000003</v>
          </cell>
          <cell r="E348">
            <v>0</v>
          </cell>
          <cell r="F348">
            <v>354.66899999999998</v>
          </cell>
          <cell r="G348">
            <v>0</v>
          </cell>
          <cell r="H348">
            <v>57426.914000000004</v>
          </cell>
          <cell r="I348" t="str">
            <v>Achats d'Approvisionnement Consommés</v>
          </cell>
          <cell r="J348">
            <v>57426.914000000004</v>
          </cell>
          <cell r="K348">
            <v>0</v>
          </cell>
          <cell r="L348">
            <v>0</v>
          </cell>
          <cell r="M348">
            <v>57426.914000000004</v>
          </cell>
        </row>
        <row r="349">
          <cell r="B349">
            <v>606130000</v>
          </cell>
          <cell r="C349" t="str">
            <v>GAZ</v>
          </cell>
          <cell r="D349">
            <v>675407.36399999994</v>
          </cell>
          <cell r="E349">
            <v>0</v>
          </cell>
          <cell r="F349">
            <v>0</v>
          </cell>
          <cell r="G349">
            <v>0</v>
          </cell>
          <cell r="H349">
            <v>675407.36399999994</v>
          </cell>
          <cell r="I349" t="str">
            <v>Achats d'Approvisionnement Consommés</v>
          </cell>
          <cell r="J349">
            <v>675407.36399999994</v>
          </cell>
          <cell r="K349">
            <v>0</v>
          </cell>
          <cell r="L349">
            <v>0</v>
          </cell>
          <cell r="M349">
            <v>675407.36399999994</v>
          </cell>
        </row>
        <row r="350">
          <cell r="B350">
            <v>606140000</v>
          </cell>
          <cell r="C350" t="str">
            <v>FOURNI.DE CARBURANT</v>
          </cell>
          <cell r="D350">
            <v>141499.58300000001</v>
          </cell>
          <cell r="E350">
            <v>0</v>
          </cell>
          <cell r="F350">
            <v>196501.976</v>
          </cell>
          <cell r="G350">
            <v>0</v>
          </cell>
          <cell r="H350">
            <v>338001.55900000001</v>
          </cell>
          <cell r="I350" t="str">
            <v>Achats d'Approvisionnement Consommés</v>
          </cell>
          <cell r="J350">
            <v>338001.55900000001</v>
          </cell>
          <cell r="K350">
            <v>0</v>
          </cell>
          <cell r="L350">
            <v>0</v>
          </cell>
          <cell r="M350">
            <v>338001.55900000001</v>
          </cell>
        </row>
        <row r="351">
          <cell r="B351">
            <v>606200000</v>
          </cell>
          <cell r="C351" t="str">
            <v>FOURNITURE DE BUREAU</v>
          </cell>
          <cell r="D351">
            <v>26209.746999999996</v>
          </cell>
          <cell r="E351">
            <v>0</v>
          </cell>
          <cell r="F351">
            <v>19114.242999999999</v>
          </cell>
          <cell r="G351">
            <v>0</v>
          </cell>
          <cell r="H351">
            <v>45323.989999999991</v>
          </cell>
          <cell r="I351" t="str">
            <v>Achats d'Approvisionnement Consommés</v>
          </cell>
          <cell r="J351">
            <v>45323.989999999991</v>
          </cell>
          <cell r="K351">
            <v>0</v>
          </cell>
          <cell r="L351">
            <v>0</v>
          </cell>
          <cell r="M351">
            <v>45323.989999999991</v>
          </cell>
        </row>
        <row r="352">
          <cell r="B352">
            <v>606600000</v>
          </cell>
          <cell r="C352" t="str">
            <v>ACHAT LUBRIFIANT</v>
          </cell>
          <cell r="D352">
            <v>32398.642700000004</v>
          </cell>
          <cell r="E352">
            <v>0</v>
          </cell>
          <cell r="F352">
            <v>0</v>
          </cell>
          <cell r="G352">
            <v>0</v>
          </cell>
          <cell r="H352">
            <v>32398.642700000004</v>
          </cell>
          <cell r="I352" t="str">
            <v>Achats d'Approvisionnement Consommés</v>
          </cell>
          <cell r="J352">
            <v>32398.642700000004</v>
          </cell>
          <cell r="K352">
            <v>0</v>
          </cell>
          <cell r="L352">
            <v>0</v>
          </cell>
          <cell r="M352">
            <v>32398.642700000004</v>
          </cell>
        </row>
        <row r="353">
          <cell r="B353">
            <v>606700000</v>
          </cell>
          <cell r="C353" t="str">
            <v>ACHAT PRODUITS DE NETT.</v>
          </cell>
          <cell r="D353">
            <v>17067.322</v>
          </cell>
          <cell r="E353">
            <v>0</v>
          </cell>
          <cell r="F353">
            <v>0</v>
          </cell>
          <cell r="G353">
            <v>0</v>
          </cell>
          <cell r="H353">
            <v>17067.322</v>
          </cell>
          <cell r="I353" t="str">
            <v>Achats d'Approvisionnement Consommés</v>
          </cell>
          <cell r="J353">
            <v>17067.322</v>
          </cell>
          <cell r="K353">
            <v>0</v>
          </cell>
          <cell r="L353">
            <v>0</v>
          </cell>
          <cell r="M353">
            <v>17067.322</v>
          </cell>
        </row>
        <row r="354">
          <cell r="B354">
            <v>607000000</v>
          </cell>
          <cell r="C354" t="str">
            <v>ACHAT DE MARCHANDIS</v>
          </cell>
          <cell r="D354">
            <v>0</v>
          </cell>
          <cell r="E354">
            <v>0</v>
          </cell>
          <cell r="F354">
            <v>29917522.436000001</v>
          </cell>
          <cell r="G354">
            <v>0</v>
          </cell>
          <cell r="H354">
            <v>29917522.436000001</v>
          </cell>
          <cell r="I354" t="str">
            <v>Achats Marchandises Consommées</v>
          </cell>
          <cell r="J354">
            <v>29917522.436000001</v>
          </cell>
          <cell r="K354">
            <v>0</v>
          </cell>
          <cell r="L354">
            <v>28161861.82082995</v>
          </cell>
          <cell r="M354">
            <v>1755660.6151700504</v>
          </cell>
        </row>
        <row r="355">
          <cell r="B355">
            <v>607130000</v>
          </cell>
          <cell r="C355" t="str">
            <v>Achat pour revente</v>
          </cell>
          <cell r="D355">
            <v>0</v>
          </cell>
          <cell r="E355">
            <v>0</v>
          </cell>
          <cell r="F355">
            <v>0</v>
          </cell>
          <cell r="G355">
            <v>0</v>
          </cell>
          <cell r="H355">
            <v>0</v>
          </cell>
          <cell r="I355" t="str">
            <v>Achats Marchandises Consommées</v>
          </cell>
          <cell r="J355">
            <v>0</v>
          </cell>
          <cell r="K355">
            <v>0</v>
          </cell>
          <cell r="L355">
            <v>0</v>
          </cell>
          <cell r="M355">
            <v>0</v>
          </cell>
        </row>
        <row r="356">
          <cell r="B356">
            <v>607200000</v>
          </cell>
          <cell r="C356" t="str">
            <v>ACHAT MARCHAN.ETRA</v>
          </cell>
          <cell r="H356">
            <v>0</v>
          </cell>
          <cell r="I356" t="str">
            <v>Achats Marchandises Consommées</v>
          </cell>
          <cell r="J356">
            <v>0</v>
          </cell>
          <cell r="K356">
            <v>0</v>
          </cell>
          <cell r="L356">
            <v>0</v>
          </cell>
          <cell r="M356">
            <v>0</v>
          </cell>
        </row>
        <row r="357">
          <cell r="B357">
            <v>609000000</v>
          </cell>
          <cell r="C357" t="str">
            <v>R.R.R OBTENU /ACHAT</v>
          </cell>
          <cell r="H357">
            <v>0</v>
          </cell>
          <cell r="J357">
            <v>0</v>
          </cell>
          <cell r="K357">
            <v>0</v>
          </cell>
          <cell r="L357">
            <v>0</v>
          </cell>
          <cell r="M357">
            <v>0</v>
          </cell>
        </row>
        <row r="358">
          <cell r="B358">
            <v>610000000</v>
          </cell>
          <cell r="C358" t="str">
            <v>SERVICES EXTERIEURS</v>
          </cell>
          <cell r="F358">
            <v>-1E-3</v>
          </cell>
          <cell r="H358">
            <v>-1E-3</v>
          </cell>
          <cell r="I358" t="str">
            <v>Autres Charges d'Exploitation</v>
          </cell>
          <cell r="J358">
            <v>-1E-3</v>
          </cell>
          <cell r="K358">
            <v>0</v>
          </cell>
          <cell r="L358">
            <v>0</v>
          </cell>
          <cell r="M358">
            <v>-1E-3</v>
          </cell>
        </row>
        <row r="359">
          <cell r="B359">
            <v>611000000</v>
          </cell>
          <cell r="C359" t="str">
            <v>SOUS-TRAITANCES GENE.</v>
          </cell>
          <cell r="H359">
            <v>0</v>
          </cell>
          <cell r="I359" t="str">
            <v>Autres Charges d'Exploitation</v>
          </cell>
          <cell r="J359">
            <v>0</v>
          </cell>
          <cell r="K359">
            <v>0</v>
          </cell>
          <cell r="L359">
            <v>0</v>
          </cell>
          <cell r="M359">
            <v>0</v>
          </cell>
        </row>
        <row r="360">
          <cell r="B360">
            <v>611100000</v>
          </cell>
          <cell r="C360" t="str">
            <v>ASSITANCE A LA GESTION</v>
          </cell>
          <cell r="H360">
            <v>0</v>
          </cell>
          <cell r="J360">
            <v>0</v>
          </cell>
          <cell r="K360">
            <v>0</v>
          </cell>
          <cell r="L360">
            <v>0</v>
          </cell>
          <cell r="M360">
            <v>0</v>
          </cell>
        </row>
        <row r="361">
          <cell r="B361">
            <v>614000000</v>
          </cell>
          <cell r="C361" t="str">
            <v>CHARGE LOCA.ET. E COR</v>
          </cell>
          <cell r="D361">
            <v>260095</v>
          </cell>
          <cell r="E361">
            <v>33075</v>
          </cell>
          <cell r="F361">
            <v>167178.18799999999</v>
          </cell>
          <cell r="G361">
            <v>9024.3000000000029</v>
          </cell>
          <cell r="H361">
            <v>469372.48799999995</v>
          </cell>
          <cell r="I361" t="str">
            <v>Autres Charges d'Exploitation</v>
          </cell>
          <cell r="J361">
            <v>469372.48799999995</v>
          </cell>
          <cell r="K361">
            <v>0</v>
          </cell>
          <cell r="L361">
            <v>38499.300000000003</v>
          </cell>
          <cell r="M361">
            <v>430873.18799999997</v>
          </cell>
        </row>
        <row r="362">
          <cell r="B362">
            <v>615000000</v>
          </cell>
          <cell r="C362" t="str">
            <v>ENTRETIEN ET REPARA</v>
          </cell>
          <cell r="D362">
            <v>368599.321</v>
          </cell>
          <cell r="E362">
            <v>0</v>
          </cell>
          <cell r="F362">
            <v>59875.442999999999</v>
          </cell>
          <cell r="G362">
            <v>284.39800000000002</v>
          </cell>
          <cell r="H362">
            <v>428759.16199999995</v>
          </cell>
          <cell r="I362" t="str">
            <v>Autres Charges d'Exploitation</v>
          </cell>
          <cell r="J362">
            <v>428759.16199999995</v>
          </cell>
          <cell r="K362">
            <v>0</v>
          </cell>
          <cell r="L362">
            <v>75452.5</v>
          </cell>
          <cell r="M362">
            <v>353306.66199999995</v>
          </cell>
        </row>
        <row r="363">
          <cell r="B363">
            <v>615010000</v>
          </cell>
          <cell r="C363" t="str">
            <v>ENTRETIENTS</v>
          </cell>
          <cell r="D363">
            <v>109246.87499999999</v>
          </cell>
          <cell r="E363">
            <v>0</v>
          </cell>
          <cell r="F363">
            <v>45171.93</v>
          </cell>
          <cell r="G363">
            <v>0</v>
          </cell>
          <cell r="H363">
            <v>154418.80499999999</v>
          </cell>
          <cell r="I363" t="str">
            <v>Autres Charges d'Exploitation</v>
          </cell>
          <cell r="J363">
            <v>154418.80499999999</v>
          </cell>
          <cell r="K363">
            <v>0</v>
          </cell>
          <cell r="L363">
            <v>0</v>
          </cell>
          <cell r="M363">
            <v>154418.80499999999</v>
          </cell>
        </row>
        <row r="364">
          <cell r="B364">
            <v>615020000</v>
          </cell>
          <cell r="C364" t="str">
            <v>REPARATIONS</v>
          </cell>
          <cell r="H364">
            <v>0</v>
          </cell>
          <cell r="I364" t="str">
            <v>Autres Charges d'Exploitation</v>
          </cell>
          <cell r="J364">
            <v>0</v>
          </cell>
          <cell r="K364">
            <v>0</v>
          </cell>
          <cell r="L364">
            <v>0</v>
          </cell>
          <cell r="M364">
            <v>0</v>
          </cell>
        </row>
        <row r="365">
          <cell r="B365">
            <v>616000000</v>
          </cell>
          <cell r="C365" t="str">
            <v>PRIMES D'ASSURANCE</v>
          </cell>
          <cell r="D365">
            <v>243.42599999999999</v>
          </cell>
          <cell r="E365">
            <v>0</v>
          </cell>
          <cell r="F365">
            <v>0</v>
          </cell>
          <cell r="G365">
            <v>0</v>
          </cell>
          <cell r="H365">
            <v>243.42599999999999</v>
          </cell>
          <cell r="I365" t="str">
            <v>Autres Charges d'Exploitation</v>
          </cell>
          <cell r="J365">
            <v>243.42599999999999</v>
          </cell>
          <cell r="K365">
            <v>0</v>
          </cell>
          <cell r="L365">
            <v>0</v>
          </cell>
          <cell r="M365">
            <v>243.42599999999999</v>
          </cell>
        </row>
        <row r="366">
          <cell r="B366">
            <v>616010000</v>
          </cell>
          <cell r="C366" t="str">
            <v>ASSURANCE VOL</v>
          </cell>
          <cell r="H366">
            <v>0</v>
          </cell>
          <cell r="I366" t="str">
            <v>Autres Charges d'Exploitation</v>
          </cell>
          <cell r="J366">
            <v>0</v>
          </cell>
          <cell r="K366">
            <v>0</v>
          </cell>
          <cell r="L366">
            <v>0</v>
          </cell>
          <cell r="M366">
            <v>0</v>
          </cell>
        </row>
        <row r="367">
          <cell r="B367">
            <v>616030000</v>
          </cell>
          <cell r="C367" t="str">
            <v>ASSURANCE AUTOS</v>
          </cell>
          <cell r="D367">
            <v>18046.5</v>
          </cell>
          <cell r="E367">
            <v>0</v>
          </cell>
          <cell r="F367">
            <v>42138.563999999998</v>
          </cell>
          <cell r="G367">
            <v>1871.366</v>
          </cell>
          <cell r="H367">
            <v>62056.43</v>
          </cell>
          <cell r="I367" t="str">
            <v>Autres Charges d'Exploitation</v>
          </cell>
          <cell r="J367">
            <v>62056.43</v>
          </cell>
          <cell r="K367">
            <v>0</v>
          </cell>
          <cell r="L367">
            <v>0</v>
          </cell>
          <cell r="M367">
            <v>62056.43</v>
          </cell>
        </row>
        <row r="368">
          <cell r="B368">
            <v>616070000</v>
          </cell>
          <cell r="C368" t="str">
            <v>ASSURANCE INCENDIE</v>
          </cell>
          <cell r="D368">
            <v>13809.8</v>
          </cell>
          <cell r="E368">
            <v>0</v>
          </cell>
          <cell r="F368">
            <v>0</v>
          </cell>
          <cell r="G368">
            <v>0</v>
          </cell>
          <cell r="H368">
            <v>13809.8</v>
          </cell>
          <cell r="I368" t="str">
            <v>Autres Charges d'Exploitation</v>
          </cell>
          <cell r="J368">
            <v>13809.8</v>
          </cell>
          <cell r="K368">
            <v>0</v>
          </cell>
          <cell r="L368">
            <v>0</v>
          </cell>
          <cell r="M368">
            <v>13809.8</v>
          </cell>
        </row>
        <row r="369">
          <cell r="B369">
            <v>617000000</v>
          </cell>
          <cell r="C369" t="str">
            <v>ETUD.RECH..DIV.SER.EX</v>
          </cell>
          <cell r="D369">
            <v>0</v>
          </cell>
          <cell r="E369">
            <v>0</v>
          </cell>
          <cell r="F369">
            <v>345.98500000000001</v>
          </cell>
          <cell r="G369">
            <v>0</v>
          </cell>
          <cell r="H369">
            <v>345.98500000000001</v>
          </cell>
          <cell r="I369" t="str">
            <v>Autres Charges d'Exploitation</v>
          </cell>
          <cell r="J369">
            <v>345.98500000000001</v>
          </cell>
          <cell r="K369">
            <v>0</v>
          </cell>
          <cell r="L369">
            <v>0</v>
          </cell>
          <cell r="M369">
            <v>345.98500000000001</v>
          </cell>
        </row>
        <row r="370">
          <cell r="B370">
            <v>620000000</v>
          </cell>
          <cell r="C370" t="str">
            <v>ADMI ADMINISTRATION</v>
          </cell>
          <cell r="D370">
            <v>10097.164000000001</v>
          </cell>
          <cell r="E370">
            <v>0</v>
          </cell>
          <cell r="F370">
            <v>0</v>
          </cell>
          <cell r="G370">
            <v>0</v>
          </cell>
          <cell r="H370">
            <v>10097.164000000001</v>
          </cell>
          <cell r="I370" t="str">
            <v>Autres Charges d'Exploitation</v>
          </cell>
          <cell r="J370">
            <v>10097.164000000001</v>
          </cell>
          <cell r="K370">
            <v>0</v>
          </cell>
          <cell r="L370">
            <v>0</v>
          </cell>
          <cell r="M370">
            <v>10097.164000000001</v>
          </cell>
        </row>
        <row r="371">
          <cell r="B371">
            <v>621000000</v>
          </cell>
          <cell r="C371" t="str">
            <v>PERSON.EXT.A L'ENTRE</v>
          </cell>
          <cell r="D371">
            <v>0</v>
          </cell>
          <cell r="E371">
            <v>0</v>
          </cell>
          <cell r="F371">
            <v>2292.8809999999999</v>
          </cell>
          <cell r="G371">
            <v>0</v>
          </cell>
          <cell r="H371">
            <v>2292.8809999999999</v>
          </cell>
          <cell r="I371" t="str">
            <v>Autres Charges d'Exploitation</v>
          </cell>
          <cell r="J371">
            <v>2292.8809999999999</v>
          </cell>
          <cell r="K371">
            <v>0</v>
          </cell>
          <cell r="L371">
            <v>0</v>
          </cell>
          <cell r="M371">
            <v>2292.8809999999999</v>
          </cell>
        </row>
        <row r="372">
          <cell r="B372">
            <v>621100000</v>
          </cell>
          <cell r="C372" t="str">
            <v>FRAIS DE GARDIENNAGE</v>
          </cell>
          <cell r="H372">
            <v>0</v>
          </cell>
          <cell r="I372" t="str">
            <v>Autres Charges d'Exploitation</v>
          </cell>
          <cell r="J372">
            <v>0</v>
          </cell>
          <cell r="K372">
            <v>0</v>
          </cell>
          <cell r="L372">
            <v>0</v>
          </cell>
          <cell r="M372">
            <v>0</v>
          </cell>
        </row>
        <row r="373">
          <cell r="B373">
            <v>621200000</v>
          </cell>
          <cell r="C373" t="str">
            <v>ENLEVEMENT DE DECHETS</v>
          </cell>
          <cell r="D373">
            <v>29656.483999999997</v>
          </cell>
          <cell r="E373">
            <v>0</v>
          </cell>
          <cell r="F373">
            <v>0</v>
          </cell>
          <cell r="G373">
            <v>0</v>
          </cell>
          <cell r="H373">
            <v>29656.483999999997</v>
          </cell>
          <cell r="I373" t="str">
            <v>Autres Charges d'Exploitation</v>
          </cell>
          <cell r="J373">
            <v>29656.483999999997</v>
          </cell>
          <cell r="K373">
            <v>0</v>
          </cell>
          <cell r="L373">
            <v>0</v>
          </cell>
          <cell r="M373">
            <v>29656.483999999997</v>
          </cell>
        </row>
        <row r="374">
          <cell r="B374">
            <v>622000000</v>
          </cell>
          <cell r="C374" t="str">
            <v>REMUN.D'INTERM.HONOR</v>
          </cell>
          <cell r="D374">
            <v>142074.29300000001</v>
          </cell>
          <cell r="E374">
            <v>0</v>
          </cell>
          <cell r="F374">
            <v>27694.187999999998</v>
          </cell>
          <cell r="G374">
            <v>0</v>
          </cell>
          <cell r="H374">
            <v>169768.481</v>
          </cell>
          <cell r="I374" t="str">
            <v>Autres Charges d'Exploitation</v>
          </cell>
          <cell r="J374">
            <v>169768.481</v>
          </cell>
          <cell r="K374">
            <v>0</v>
          </cell>
          <cell r="L374">
            <v>0</v>
          </cell>
          <cell r="M374">
            <v>169768.481</v>
          </cell>
        </row>
        <row r="375">
          <cell r="B375">
            <v>623000000</v>
          </cell>
          <cell r="C375" t="str">
            <v>ACTN ACTIVITE  FORMATION</v>
          </cell>
          <cell r="D375">
            <v>55302</v>
          </cell>
          <cell r="E375">
            <v>0</v>
          </cell>
          <cell r="F375">
            <v>115036.46</v>
          </cell>
          <cell r="G375">
            <v>0</v>
          </cell>
          <cell r="H375">
            <v>170338.46000000002</v>
          </cell>
          <cell r="I375" t="str">
            <v>Autres Charges d'Exploitation</v>
          </cell>
          <cell r="J375">
            <v>170338.46000000002</v>
          </cell>
          <cell r="K375">
            <v>0</v>
          </cell>
          <cell r="L375">
            <v>55000</v>
          </cell>
          <cell r="M375">
            <v>115338.46000000002</v>
          </cell>
        </row>
        <row r="376">
          <cell r="B376">
            <v>623010000</v>
          </cell>
          <cell r="C376" t="str">
            <v>COTISATION &amp; DONS</v>
          </cell>
          <cell r="D376">
            <v>40786.1</v>
          </cell>
          <cell r="E376">
            <v>500</v>
          </cell>
          <cell r="F376">
            <v>15358.7</v>
          </cell>
          <cell r="G376">
            <v>235</v>
          </cell>
          <cell r="H376">
            <v>56879.8</v>
          </cell>
          <cell r="I376" t="str">
            <v>Autres Charges d'Exploitation</v>
          </cell>
          <cell r="J376">
            <v>56879.8</v>
          </cell>
          <cell r="K376">
            <v>0</v>
          </cell>
          <cell r="L376">
            <v>0</v>
          </cell>
          <cell r="M376">
            <v>56879.8</v>
          </cell>
        </row>
        <row r="377">
          <cell r="B377">
            <v>623020000</v>
          </cell>
          <cell r="C377" t="str">
            <v>Cotisations</v>
          </cell>
          <cell r="H377">
            <v>0</v>
          </cell>
          <cell r="J377">
            <v>0</v>
          </cell>
          <cell r="K377">
            <v>0</v>
          </cell>
          <cell r="L377">
            <v>0</v>
          </cell>
          <cell r="M377">
            <v>0</v>
          </cell>
        </row>
        <row r="378">
          <cell r="B378">
            <v>624100000</v>
          </cell>
          <cell r="C378" t="str">
            <v>TRANSPORT SUR ACHAT</v>
          </cell>
          <cell r="D378">
            <v>30107.692999999999</v>
          </cell>
          <cell r="E378">
            <v>0</v>
          </cell>
          <cell r="F378">
            <v>0</v>
          </cell>
          <cell r="G378">
            <v>0</v>
          </cell>
          <cell r="H378">
            <v>30107.692999999999</v>
          </cell>
          <cell r="I378" t="str">
            <v>Autres Charges d'Exploitation</v>
          </cell>
          <cell r="J378">
            <v>30107.692999999999</v>
          </cell>
          <cell r="K378">
            <v>0</v>
          </cell>
          <cell r="L378">
            <v>0</v>
          </cell>
          <cell r="M378">
            <v>30107.692999999999</v>
          </cell>
        </row>
        <row r="379">
          <cell r="B379">
            <v>624200000</v>
          </cell>
          <cell r="C379" t="str">
            <v>TRANSPORT SUR VENTE</v>
          </cell>
          <cell r="D379">
            <v>3950</v>
          </cell>
          <cell r="E379">
            <v>0</v>
          </cell>
          <cell r="F379">
            <v>0</v>
          </cell>
          <cell r="G379">
            <v>0</v>
          </cell>
          <cell r="H379">
            <v>3950</v>
          </cell>
          <cell r="I379" t="str">
            <v>Autres Charges d'Exploitation</v>
          </cell>
          <cell r="J379">
            <v>3950</v>
          </cell>
          <cell r="K379">
            <v>0</v>
          </cell>
          <cell r="L379">
            <v>0</v>
          </cell>
          <cell r="M379">
            <v>3950</v>
          </cell>
        </row>
        <row r="380">
          <cell r="B380">
            <v>624800000</v>
          </cell>
          <cell r="C380" t="str">
            <v>DIVERS</v>
          </cell>
          <cell r="H380">
            <v>0</v>
          </cell>
          <cell r="I380" t="str">
            <v>Autres Charges d'Exploitation</v>
          </cell>
          <cell r="J380">
            <v>0</v>
          </cell>
          <cell r="K380">
            <v>0</v>
          </cell>
          <cell r="L380">
            <v>0</v>
          </cell>
          <cell r="M380">
            <v>0</v>
          </cell>
        </row>
        <row r="381">
          <cell r="B381">
            <v>625000000</v>
          </cell>
          <cell r="C381" t="str">
            <v>FRAIS DE DEPLACEMENT</v>
          </cell>
          <cell r="D381">
            <v>798.53899999999976</v>
          </cell>
          <cell r="E381">
            <v>0</v>
          </cell>
          <cell r="F381">
            <v>7527.4859999999999</v>
          </cell>
          <cell r="G381">
            <v>0</v>
          </cell>
          <cell r="H381">
            <v>8326.0249999999996</v>
          </cell>
          <cell r="I381" t="str">
            <v>Autres Charges d'Exploitation</v>
          </cell>
          <cell r="J381">
            <v>8326.0249999999996</v>
          </cell>
          <cell r="K381">
            <v>0</v>
          </cell>
          <cell r="L381">
            <v>0</v>
          </cell>
          <cell r="M381">
            <v>8326.0249999999996</v>
          </cell>
        </row>
        <row r="382">
          <cell r="B382">
            <v>625100000</v>
          </cell>
          <cell r="C382" t="str">
            <v>VOYAGES ET MISSIONS</v>
          </cell>
          <cell r="D382">
            <v>36034.300000000003</v>
          </cell>
          <cell r="E382">
            <v>0</v>
          </cell>
          <cell r="F382">
            <v>0</v>
          </cell>
          <cell r="G382">
            <v>0</v>
          </cell>
          <cell r="H382">
            <v>36034.300000000003</v>
          </cell>
          <cell r="I382" t="str">
            <v>Autres Charges d'Exploitation</v>
          </cell>
          <cell r="J382">
            <v>36034.300000000003</v>
          </cell>
          <cell r="K382">
            <v>0</v>
          </cell>
          <cell r="L382">
            <v>0</v>
          </cell>
          <cell r="M382">
            <v>36034.300000000003</v>
          </cell>
        </row>
        <row r="383">
          <cell r="B383">
            <v>625600000</v>
          </cell>
          <cell r="C383" t="str">
            <v>MISSIONS</v>
          </cell>
          <cell r="H383">
            <v>0</v>
          </cell>
          <cell r="J383">
            <v>0</v>
          </cell>
          <cell r="K383">
            <v>0</v>
          </cell>
          <cell r="L383">
            <v>0</v>
          </cell>
          <cell r="M383">
            <v>0</v>
          </cell>
        </row>
        <row r="384">
          <cell r="B384">
            <v>625700000</v>
          </cell>
          <cell r="C384" t="str">
            <v>RECEPTIONS</v>
          </cell>
          <cell r="D384">
            <v>47061.161</v>
          </cell>
          <cell r="E384">
            <v>0</v>
          </cell>
          <cell r="F384">
            <v>1706.306</v>
          </cell>
          <cell r="G384">
            <v>0</v>
          </cell>
          <cell r="H384">
            <v>48767.466999999997</v>
          </cell>
          <cell r="I384" t="str">
            <v>Autres Charges d'Exploitation</v>
          </cell>
          <cell r="J384">
            <v>48767.466999999997</v>
          </cell>
          <cell r="K384">
            <v>0</v>
          </cell>
          <cell r="L384">
            <v>0</v>
          </cell>
          <cell r="M384">
            <v>48767.466999999997</v>
          </cell>
        </row>
        <row r="385">
          <cell r="B385">
            <v>625800000</v>
          </cell>
          <cell r="C385" t="str">
            <v>ABONNEMENT ET DOCU.</v>
          </cell>
          <cell r="D385">
            <v>18595.864999999998</v>
          </cell>
          <cell r="E385">
            <v>0</v>
          </cell>
          <cell r="F385">
            <v>3051.4879999999998</v>
          </cell>
          <cell r="G385">
            <v>0</v>
          </cell>
          <cell r="H385">
            <v>21647.352999999999</v>
          </cell>
          <cell r="I385" t="str">
            <v>Autres Charges d'Exploitation</v>
          </cell>
          <cell r="J385">
            <v>21647.352999999999</v>
          </cell>
          <cell r="K385">
            <v>0</v>
          </cell>
          <cell r="L385">
            <v>0</v>
          </cell>
          <cell r="M385">
            <v>21647.352999999999</v>
          </cell>
        </row>
        <row r="386">
          <cell r="B386">
            <v>626000000</v>
          </cell>
          <cell r="C386" t="str">
            <v>FRAIS POSTAUX &amp; TELEC</v>
          </cell>
          <cell r="D386">
            <v>27676.445</v>
          </cell>
          <cell r="E386">
            <v>0</v>
          </cell>
          <cell r="F386">
            <v>22503.223000000002</v>
          </cell>
          <cell r="G386">
            <v>0</v>
          </cell>
          <cell r="H386">
            <v>50179.668000000005</v>
          </cell>
          <cell r="I386" t="str">
            <v>Autres Charges d'Exploitation</v>
          </cell>
          <cell r="J386">
            <v>50179.668000000005</v>
          </cell>
          <cell r="K386">
            <v>0</v>
          </cell>
          <cell r="L386">
            <v>0</v>
          </cell>
          <cell r="M386">
            <v>50179.668000000005</v>
          </cell>
        </row>
        <row r="387">
          <cell r="B387">
            <v>627000000</v>
          </cell>
          <cell r="C387" t="str">
            <v>SERVICES BANC.ASSIMI</v>
          </cell>
          <cell r="H387">
            <v>0</v>
          </cell>
          <cell r="J387">
            <v>0</v>
          </cell>
          <cell r="K387">
            <v>0</v>
          </cell>
          <cell r="L387">
            <v>0</v>
          </cell>
          <cell r="M387">
            <v>0</v>
          </cell>
        </row>
        <row r="388">
          <cell r="B388">
            <v>627500000</v>
          </cell>
          <cell r="C388" t="str">
            <v>FRAIS SUR EFFETS</v>
          </cell>
          <cell r="H388">
            <v>0</v>
          </cell>
          <cell r="J388">
            <v>0</v>
          </cell>
          <cell r="K388">
            <v>0</v>
          </cell>
          <cell r="L388">
            <v>0</v>
          </cell>
          <cell r="M388">
            <v>0</v>
          </cell>
        </row>
        <row r="389">
          <cell r="B389">
            <v>627800000</v>
          </cell>
          <cell r="C389" t="str">
            <v>AUT.FRAI.COM.PRES.SER</v>
          </cell>
          <cell r="D389">
            <v>157556.72700000001</v>
          </cell>
          <cell r="E389">
            <v>477.85700000000003</v>
          </cell>
          <cell r="F389">
            <v>46996.904999999999</v>
          </cell>
          <cell r="G389">
            <v>386.96800000000002</v>
          </cell>
          <cell r="H389">
            <v>205418.45699999999</v>
          </cell>
          <cell r="I389" t="str">
            <v>Autres Charges d'Exploitation</v>
          </cell>
          <cell r="J389">
            <v>205418.45699999999</v>
          </cell>
          <cell r="K389">
            <v>0</v>
          </cell>
          <cell r="L389">
            <v>0</v>
          </cell>
          <cell r="M389">
            <v>205418.45699999999</v>
          </cell>
        </row>
        <row r="390">
          <cell r="B390">
            <v>630000000</v>
          </cell>
          <cell r="C390" t="str">
            <v>CHARGES DIV.ORDINAIR</v>
          </cell>
          <cell r="H390">
            <v>0</v>
          </cell>
          <cell r="J390">
            <v>0</v>
          </cell>
          <cell r="K390">
            <v>0</v>
          </cell>
          <cell r="L390">
            <v>0</v>
          </cell>
          <cell r="M390">
            <v>0</v>
          </cell>
        </row>
        <row r="391">
          <cell r="B391">
            <v>633000000</v>
          </cell>
          <cell r="C391" t="str">
            <v>JETONS DE PRESENCE</v>
          </cell>
          <cell r="D391">
            <v>0</v>
          </cell>
          <cell r="E391">
            <v>0</v>
          </cell>
          <cell r="F391">
            <v>0</v>
          </cell>
          <cell r="G391">
            <v>0</v>
          </cell>
          <cell r="H391">
            <v>0</v>
          </cell>
          <cell r="I391" t="str">
            <v xml:space="preserve">Autres pertes ordinaires </v>
          </cell>
          <cell r="J391">
            <v>0</v>
          </cell>
          <cell r="K391">
            <v>0</v>
          </cell>
          <cell r="L391">
            <v>0</v>
          </cell>
          <cell r="M391">
            <v>0</v>
          </cell>
        </row>
        <row r="392">
          <cell r="B392">
            <v>634000000</v>
          </cell>
          <cell r="C392" t="str">
            <v>PERT.SUR.CRAN.IRRECOU</v>
          </cell>
          <cell r="D392">
            <v>0</v>
          </cell>
          <cell r="E392">
            <v>0</v>
          </cell>
          <cell r="F392">
            <v>0</v>
          </cell>
          <cell r="G392">
            <v>0</v>
          </cell>
          <cell r="H392">
            <v>0</v>
          </cell>
          <cell r="I392" t="str">
            <v xml:space="preserve">Autres pertes ordinaires </v>
          </cell>
          <cell r="J392">
            <v>0</v>
          </cell>
          <cell r="K392">
            <v>0</v>
          </cell>
          <cell r="L392">
            <v>0</v>
          </cell>
          <cell r="M392">
            <v>0</v>
          </cell>
        </row>
        <row r="393">
          <cell r="B393">
            <v>634100000</v>
          </cell>
          <cell r="C393" t="str">
            <v>CREANCE DE L'EXERC.</v>
          </cell>
          <cell r="H393">
            <v>0</v>
          </cell>
          <cell r="J393">
            <v>0</v>
          </cell>
          <cell r="K393">
            <v>0</v>
          </cell>
          <cell r="L393">
            <v>0</v>
          </cell>
          <cell r="M393">
            <v>0</v>
          </cell>
        </row>
        <row r="394">
          <cell r="B394">
            <v>636000000</v>
          </cell>
          <cell r="C394" t="str">
            <v>CHA.NET.SU.CESS.D'IMM</v>
          </cell>
          <cell r="H394">
            <v>0</v>
          </cell>
          <cell r="I394" t="str">
            <v xml:space="preserve">Autres pertes ordinaires </v>
          </cell>
          <cell r="J394">
            <v>0</v>
          </cell>
          <cell r="K394">
            <v>0</v>
          </cell>
          <cell r="L394">
            <v>0</v>
          </cell>
          <cell r="M394">
            <v>0</v>
          </cell>
        </row>
        <row r="395">
          <cell r="B395">
            <v>636020000</v>
          </cell>
          <cell r="C395" t="str">
            <v>AUTRE PERT.EXEPTION</v>
          </cell>
          <cell r="D395">
            <v>8297.0630000000001</v>
          </cell>
          <cell r="E395">
            <v>553.72400000000005</v>
          </cell>
          <cell r="F395">
            <v>19968.544000000002</v>
          </cell>
          <cell r="G395">
            <v>7685.2179999999998</v>
          </cell>
          <cell r="H395">
            <v>36504.548999999999</v>
          </cell>
          <cell r="I395" t="str">
            <v xml:space="preserve">Autres pertes ordinaires </v>
          </cell>
          <cell r="J395">
            <v>36504.548999999999</v>
          </cell>
          <cell r="K395">
            <v>0</v>
          </cell>
          <cell r="L395">
            <v>0</v>
          </cell>
          <cell r="M395">
            <v>36504.548999999999</v>
          </cell>
        </row>
        <row r="396">
          <cell r="B396">
            <v>636100000</v>
          </cell>
          <cell r="C396" t="str">
            <v>PENALITES ET AMANDES</v>
          </cell>
          <cell r="D396">
            <v>10705.001</v>
          </cell>
          <cell r="E396">
            <v>0</v>
          </cell>
          <cell r="F396">
            <v>2843.4940000000001</v>
          </cell>
          <cell r="G396">
            <v>364.65699999999993</v>
          </cell>
          <cell r="H396">
            <v>13913.152</v>
          </cell>
          <cell r="I396" t="str">
            <v xml:space="preserve">Autres pertes ordinaires </v>
          </cell>
          <cell r="J396">
            <v>13913.152</v>
          </cell>
          <cell r="K396">
            <v>0</v>
          </cell>
          <cell r="L396">
            <v>0</v>
          </cell>
          <cell r="M396">
            <v>13913.152</v>
          </cell>
        </row>
        <row r="397">
          <cell r="B397">
            <v>638000000</v>
          </cell>
          <cell r="C397" t="str">
            <v>CHA.DIV.ORD.LI.MOD.CO</v>
          </cell>
          <cell r="H397">
            <v>0</v>
          </cell>
          <cell r="J397">
            <v>0</v>
          </cell>
          <cell r="K397">
            <v>0</v>
          </cell>
          <cell r="L397">
            <v>0</v>
          </cell>
          <cell r="M397">
            <v>0</v>
          </cell>
        </row>
        <row r="398">
          <cell r="B398">
            <v>640000000</v>
          </cell>
          <cell r="C398" t="str">
            <v>CHARGE DE PERSONNEL</v>
          </cell>
          <cell r="D398">
            <v>0</v>
          </cell>
          <cell r="E398">
            <v>80966.442999999999</v>
          </cell>
          <cell r="F398">
            <v>685964.17700000003</v>
          </cell>
          <cell r="G398">
            <v>41080.237000000001</v>
          </cell>
          <cell r="H398">
            <v>808010.85699999996</v>
          </cell>
          <cell r="I398" t="str">
            <v xml:space="preserve">Charges du personnels </v>
          </cell>
          <cell r="J398">
            <v>808010.85699999996</v>
          </cell>
          <cell r="K398">
            <v>0</v>
          </cell>
          <cell r="L398">
            <v>0</v>
          </cell>
          <cell r="M398">
            <v>808010.85699999996</v>
          </cell>
        </row>
        <row r="399">
          <cell r="B399">
            <v>640010000</v>
          </cell>
          <cell r="C399" t="str">
            <v>SALAI.COMPLE.DE SALA</v>
          </cell>
          <cell r="D399">
            <v>3096099.06</v>
          </cell>
          <cell r="E399">
            <v>0</v>
          </cell>
          <cell r="F399">
            <v>0</v>
          </cell>
          <cell r="G399">
            <v>0</v>
          </cell>
          <cell r="H399">
            <v>3096099.06</v>
          </cell>
          <cell r="I399" t="str">
            <v xml:space="preserve">Charges du personnels </v>
          </cell>
          <cell r="J399">
            <v>3096099.06</v>
          </cell>
          <cell r="K399">
            <v>0</v>
          </cell>
          <cell r="L399">
            <v>0</v>
          </cell>
          <cell r="M399">
            <v>3096099.06</v>
          </cell>
        </row>
        <row r="400">
          <cell r="B400">
            <v>640011000</v>
          </cell>
          <cell r="C400" t="str">
            <v>SALAIRE</v>
          </cell>
          <cell r="H400">
            <v>0</v>
          </cell>
          <cell r="J400">
            <v>0</v>
          </cell>
          <cell r="K400">
            <v>0</v>
          </cell>
          <cell r="L400">
            <v>0</v>
          </cell>
          <cell r="M400">
            <v>0</v>
          </cell>
        </row>
        <row r="401">
          <cell r="B401">
            <v>640100000</v>
          </cell>
          <cell r="C401" t="str">
            <v>HEURES SUPPLEMENT.</v>
          </cell>
          <cell r="H401">
            <v>0</v>
          </cell>
          <cell r="J401">
            <v>0</v>
          </cell>
          <cell r="K401">
            <v>0</v>
          </cell>
          <cell r="L401">
            <v>0</v>
          </cell>
          <cell r="M401">
            <v>0</v>
          </cell>
        </row>
        <row r="402">
          <cell r="B402">
            <v>640200000</v>
          </cell>
          <cell r="C402" t="str">
            <v>PRIMES</v>
          </cell>
          <cell r="H402">
            <v>0</v>
          </cell>
          <cell r="J402">
            <v>0</v>
          </cell>
          <cell r="K402">
            <v>0</v>
          </cell>
          <cell r="L402">
            <v>0</v>
          </cell>
          <cell r="M402">
            <v>0</v>
          </cell>
        </row>
        <row r="403">
          <cell r="B403">
            <v>640300000</v>
          </cell>
          <cell r="C403" t="str">
            <v>GRAFITICATIONS</v>
          </cell>
          <cell r="H403">
            <v>0</v>
          </cell>
          <cell r="J403">
            <v>0</v>
          </cell>
          <cell r="K403">
            <v>0</v>
          </cell>
          <cell r="L403">
            <v>0</v>
          </cell>
          <cell r="M403">
            <v>0</v>
          </cell>
        </row>
        <row r="404">
          <cell r="B404">
            <v>642000000</v>
          </cell>
          <cell r="C404" t="str">
            <v>APPOINTEM. ET COMPLE</v>
          </cell>
          <cell r="H404">
            <v>0</v>
          </cell>
          <cell r="J404">
            <v>0</v>
          </cell>
          <cell r="K404">
            <v>0</v>
          </cell>
          <cell r="L404">
            <v>0</v>
          </cell>
          <cell r="M404">
            <v>0</v>
          </cell>
        </row>
        <row r="405">
          <cell r="B405">
            <v>642010000</v>
          </cell>
          <cell r="C405" t="str">
            <v>APPOINTEMENTS</v>
          </cell>
          <cell r="H405">
            <v>0</v>
          </cell>
          <cell r="J405">
            <v>0</v>
          </cell>
          <cell r="K405">
            <v>0</v>
          </cell>
          <cell r="L405">
            <v>0</v>
          </cell>
          <cell r="M405">
            <v>0</v>
          </cell>
        </row>
        <row r="406">
          <cell r="B406">
            <v>642100000</v>
          </cell>
          <cell r="C406" t="str">
            <v>HEURES SUPPLEMENTAI</v>
          </cell>
          <cell r="H406">
            <v>0</v>
          </cell>
          <cell r="J406">
            <v>0</v>
          </cell>
          <cell r="K406">
            <v>0</v>
          </cell>
          <cell r="L406">
            <v>0</v>
          </cell>
          <cell r="M406">
            <v>0</v>
          </cell>
        </row>
        <row r="407">
          <cell r="B407">
            <v>642200000</v>
          </cell>
          <cell r="C407" t="str">
            <v>PRIMES</v>
          </cell>
          <cell r="H407">
            <v>0</v>
          </cell>
          <cell r="J407">
            <v>0</v>
          </cell>
          <cell r="K407">
            <v>0</v>
          </cell>
          <cell r="L407">
            <v>0</v>
          </cell>
          <cell r="M407">
            <v>0</v>
          </cell>
        </row>
        <row r="408">
          <cell r="B408">
            <v>646001000</v>
          </cell>
          <cell r="C408" t="str">
            <v>CONGES PAYES</v>
          </cell>
          <cell r="D408">
            <v>-35557.713999999978</v>
          </cell>
          <cell r="E408">
            <v>0</v>
          </cell>
          <cell r="F408">
            <v>-30456.446</v>
          </cell>
          <cell r="G408">
            <v>0</v>
          </cell>
          <cell r="H408">
            <v>-66014.159999999974</v>
          </cell>
          <cell r="I408" t="str">
            <v xml:space="preserve">Charges du personnels </v>
          </cell>
          <cell r="J408">
            <v>-66014.159999999974</v>
          </cell>
          <cell r="K408">
            <v>0</v>
          </cell>
          <cell r="L408">
            <v>0</v>
          </cell>
          <cell r="M408">
            <v>-66014.159999999974</v>
          </cell>
        </row>
        <row r="409">
          <cell r="B409">
            <v>646010000</v>
          </cell>
          <cell r="C409" t="str">
            <v>COTISATION ASSU.GROU</v>
          </cell>
          <cell r="H409">
            <v>0</v>
          </cell>
          <cell r="I409" t="str">
            <v xml:space="preserve">Charges du personnels </v>
          </cell>
          <cell r="J409">
            <v>0</v>
          </cell>
          <cell r="K409">
            <v>0</v>
          </cell>
          <cell r="L409">
            <v>0</v>
          </cell>
          <cell r="M409">
            <v>0</v>
          </cell>
        </row>
        <row r="410">
          <cell r="B410">
            <v>646030000</v>
          </cell>
          <cell r="C410" t="str">
            <v>HABILLEMENT ET AUTRES</v>
          </cell>
          <cell r="D410">
            <v>0</v>
          </cell>
          <cell r="E410">
            <v>0</v>
          </cell>
          <cell r="F410">
            <v>14235</v>
          </cell>
          <cell r="G410">
            <v>0</v>
          </cell>
          <cell r="H410">
            <v>14235</v>
          </cell>
          <cell r="I410" t="str">
            <v xml:space="preserve">Charges du personnels </v>
          </cell>
          <cell r="J410">
            <v>14235</v>
          </cell>
          <cell r="K410">
            <v>0</v>
          </cell>
          <cell r="L410">
            <v>0</v>
          </cell>
          <cell r="M410">
            <v>14235</v>
          </cell>
        </row>
        <row r="411">
          <cell r="B411">
            <v>647010000</v>
          </cell>
          <cell r="C411" t="str">
            <v>C.N.S.S SUR SALAIRE</v>
          </cell>
          <cell r="D411">
            <v>0</v>
          </cell>
          <cell r="E411">
            <v>0</v>
          </cell>
          <cell r="F411">
            <v>11227.44</v>
          </cell>
          <cell r="G411">
            <v>0</v>
          </cell>
          <cell r="H411">
            <v>11227.44</v>
          </cell>
          <cell r="J411">
            <v>11227.44</v>
          </cell>
          <cell r="K411">
            <v>0</v>
          </cell>
          <cell r="L411">
            <v>0</v>
          </cell>
          <cell r="M411">
            <v>11227.44</v>
          </cell>
        </row>
        <row r="412">
          <cell r="B412">
            <v>647200000</v>
          </cell>
          <cell r="C412" t="str">
            <v>C.N.S.S. SUR APPOINTE</v>
          </cell>
          <cell r="D412">
            <v>290633.58100000001</v>
          </cell>
          <cell r="E412">
            <v>3148.3209999999999</v>
          </cell>
          <cell r="F412">
            <v>105177.129</v>
          </cell>
          <cell r="G412">
            <v>7792.9219999999996</v>
          </cell>
          <cell r="H412">
            <v>406751.95300000004</v>
          </cell>
          <cell r="I412" t="str">
            <v xml:space="preserve">Charges du personnels </v>
          </cell>
          <cell r="J412">
            <v>406751.95300000004</v>
          </cell>
          <cell r="K412">
            <v>0</v>
          </cell>
          <cell r="L412">
            <v>0</v>
          </cell>
          <cell r="M412">
            <v>406751.95300000004</v>
          </cell>
        </row>
        <row r="413">
          <cell r="B413">
            <v>649200000</v>
          </cell>
          <cell r="C413" t="str">
            <v>PROVISION / CONGE PAYE</v>
          </cell>
          <cell r="H413">
            <v>0</v>
          </cell>
          <cell r="J413">
            <v>0</v>
          </cell>
          <cell r="K413">
            <v>0</v>
          </cell>
          <cell r="L413">
            <v>0</v>
          </cell>
          <cell r="M413">
            <v>0</v>
          </cell>
        </row>
        <row r="414">
          <cell r="B414">
            <v>651000000</v>
          </cell>
          <cell r="C414" t="str">
            <v>CHARGES D'INTERETS</v>
          </cell>
          <cell r="F414">
            <v>0</v>
          </cell>
          <cell r="H414">
            <v>0</v>
          </cell>
          <cell r="J414">
            <v>0</v>
          </cell>
          <cell r="K414">
            <v>0</v>
          </cell>
          <cell r="L414">
            <v>0</v>
          </cell>
          <cell r="M414">
            <v>0</v>
          </cell>
        </row>
        <row r="415">
          <cell r="B415">
            <v>651100000</v>
          </cell>
          <cell r="C415" t="str">
            <v>INTEREST/EMP ET DET</v>
          </cell>
          <cell r="D415">
            <v>452416.47499999998</v>
          </cell>
          <cell r="E415">
            <v>0</v>
          </cell>
          <cell r="F415">
            <v>0</v>
          </cell>
          <cell r="G415">
            <v>0</v>
          </cell>
          <cell r="H415">
            <v>452416.47499999998</v>
          </cell>
          <cell r="I415" t="str">
            <v>Charges Financières nettes</v>
          </cell>
          <cell r="J415">
            <v>452416.47499999998</v>
          </cell>
          <cell r="K415">
            <v>0</v>
          </cell>
          <cell r="L415">
            <v>62400</v>
          </cell>
          <cell r="M415">
            <v>390016.47499999998</v>
          </cell>
        </row>
        <row r="416">
          <cell r="B416">
            <v>651102000</v>
          </cell>
          <cell r="C416" t="str">
            <v>AGIO/PREFINACE.EXPOR</v>
          </cell>
          <cell r="D416">
            <v>330425.44700000004</v>
          </cell>
          <cell r="E416">
            <v>0</v>
          </cell>
          <cell r="F416">
            <v>0</v>
          </cell>
          <cell r="G416">
            <v>0</v>
          </cell>
          <cell r="H416">
            <v>330425.44700000004</v>
          </cell>
          <cell r="I416" t="str">
            <v>Charges Financières nettes</v>
          </cell>
          <cell r="J416">
            <v>330425.44700000004</v>
          </cell>
          <cell r="K416">
            <v>0</v>
          </cell>
          <cell r="L416">
            <v>0</v>
          </cell>
          <cell r="M416">
            <v>330425.44700000004</v>
          </cell>
        </row>
        <row r="417">
          <cell r="B417">
            <v>651104000</v>
          </cell>
          <cell r="C417" t="str">
            <v>AGIONS/FINACEM.DE STO</v>
          </cell>
          <cell r="D417">
            <v>315226.63799999992</v>
          </cell>
          <cell r="E417">
            <v>0</v>
          </cell>
          <cell r="F417">
            <v>0</v>
          </cell>
          <cell r="G417">
            <v>0</v>
          </cell>
          <cell r="H417">
            <v>315226.63799999992</v>
          </cell>
          <cell r="I417" t="str">
            <v>Charges Financières nettes</v>
          </cell>
          <cell r="J417">
            <v>315226.63799999992</v>
          </cell>
          <cell r="K417">
            <v>0</v>
          </cell>
          <cell r="L417">
            <v>0</v>
          </cell>
          <cell r="M417">
            <v>315226.63799999992</v>
          </cell>
        </row>
        <row r="418">
          <cell r="B418">
            <v>651150000</v>
          </cell>
          <cell r="C418" t="str">
            <v>INTERET/ CREDIT LEASING</v>
          </cell>
          <cell r="D418">
            <v>133.41</v>
          </cell>
          <cell r="E418">
            <v>0</v>
          </cell>
          <cell r="F418">
            <v>2607.7069999999999</v>
          </cell>
          <cell r="G418">
            <v>84.088999999999999</v>
          </cell>
          <cell r="H418">
            <v>2825.2059999999997</v>
          </cell>
          <cell r="I418" t="str">
            <v>Charges Financières nettes</v>
          </cell>
          <cell r="J418">
            <v>2825.2059999999997</v>
          </cell>
          <cell r="K418">
            <v>0</v>
          </cell>
          <cell r="L418">
            <v>0</v>
          </cell>
          <cell r="M418">
            <v>2825.2059999999997</v>
          </cell>
        </row>
        <row r="419">
          <cell r="B419">
            <v>651500000</v>
          </cell>
          <cell r="C419" t="str">
            <v>INTE.COM.COU.DEP.CRE</v>
          </cell>
          <cell r="H419">
            <v>0</v>
          </cell>
          <cell r="I419" t="str">
            <v>Charges Financières nettes</v>
          </cell>
          <cell r="J419">
            <v>0</v>
          </cell>
          <cell r="K419">
            <v>0</v>
          </cell>
          <cell r="L419">
            <v>0</v>
          </cell>
          <cell r="M419">
            <v>0</v>
          </cell>
        </row>
        <row r="420">
          <cell r="B420">
            <v>651600000</v>
          </cell>
          <cell r="C420" t="str">
            <v>INT.BANC.SUR OPER.FIN</v>
          </cell>
          <cell r="D420">
            <v>7210.3859999999986</v>
          </cell>
          <cell r="E420">
            <v>418.15</v>
          </cell>
          <cell r="F420">
            <v>201458.889</v>
          </cell>
          <cell r="G420">
            <v>5529.35</v>
          </cell>
          <cell r="H420">
            <v>214616.77499999999</v>
          </cell>
          <cell r="I420" t="str">
            <v>Charges Financières nettes</v>
          </cell>
          <cell r="J420">
            <v>214616.77499999999</v>
          </cell>
          <cell r="K420">
            <v>0</v>
          </cell>
          <cell r="L420">
            <v>0</v>
          </cell>
          <cell r="M420">
            <v>214616.77499999999</v>
          </cell>
        </row>
        <row r="421">
          <cell r="B421">
            <v>651800000</v>
          </cell>
          <cell r="C421" t="str">
            <v>INTERETS DES AUT.DET</v>
          </cell>
          <cell r="F421">
            <v>0</v>
          </cell>
          <cell r="H421">
            <v>0</v>
          </cell>
          <cell r="J421">
            <v>0</v>
          </cell>
          <cell r="K421">
            <v>0</v>
          </cell>
          <cell r="L421">
            <v>0</v>
          </cell>
          <cell r="M421">
            <v>0</v>
          </cell>
        </row>
        <row r="422">
          <cell r="B422">
            <v>651900000</v>
          </cell>
          <cell r="C422" t="str">
            <v>ECHELLE D'INTERETS</v>
          </cell>
          <cell r="D422">
            <v>211145.75499999998</v>
          </cell>
          <cell r="E422">
            <v>0</v>
          </cell>
          <cell r="F422">
            <v>0</v>
          </cell>
          <cell r="G422">
            <v>0</v>
          </cell>
          <cell r="H422">
            <v>211145.75499999998</v>
          </cell>
          <cell r="I422" t="str">
            <v>Charges Financières nettes</v>
          </cell>
          <cell r="J422">
            <v>211145.75499999998</v>
          </cell>
          <cell r="K422">
            <v>0</v>
          </cell>
          <cell r="L422">
            <v>0</v>
          </cell>
          <cell r="M422">
            <v>211145.75499999998</v>
          </cell>
        </row>
        <row r="423">
          <cell r="B423">
            <v>654000000</v>
          </cell>
          <cell r="C423" t="str">
            <v>ESCOMPTES ACCORDES</v>
          </cell>
          <cell r="D423">
            <v>0</v>
          </cell>
          <cell r="E423">
            <v>0</v>
          </cell>
          <cell r="F423">
            <v>0</v>
          </cell>
          <cell r="G423">
            <v>0</v>
          </cell>
          <cell r="H423">
            <v>0</v>
          </cell>
          <cell r="I423" t="str">
            <v>Charges Financières nettes</v>
          </cell>
          <cell r="J423">
            <v>0</v>
          </cell>
          <cell r="K423">
            <v>0</v>
          </cell>
          <cell r="L423">
            <v>0</v>
          </cell>
          <cell r="M423">
            <v>0</v>
          </cell>
        </row>
        <row r="424">
          <cell r="B424">
            <v>654130000</v>
          </cell>
          <cell r="C424" t="str">
            <v>ESCPT. STB SFAX</v>
          </cell>
          <cell r="H424">
            <v>0</v>
          </cell>
          <cell r="J424">
            <v>0</v>
          </cell>
          <cell r="K424">
            <v>0</v>
          </cell>
          <cell r="L424">
            <v>0</v>
          </cell>
          <cell r="M424">
            <v>0</v>
          </cell>
        </row>
        <row r="425">
          <cell r="B425">
            <v>654160000</v>
          </cell>
          <cell r="C425" t="str">
            <v>ESCPT. STB GABES</v>
          </cell>
          <cell r="H425">
            <v>0</v>
          </cell>
          <cell r="J425">
            <v>0</v>
          </cell>
          <cell r="K425">
            <v>0</v>
          </cell>
          <cell r="L425">
            <v>0</v>
          </cell>
          <cell r="M425">
            <v>0</v>
          </cell>
        </row>
        <row r="426">
          <cell r="B426">
            <v>655000000</v>
          </cell>
          <cell r="C426" t="str">
            <v>PERTES DE CHANGES</v>
          </cell>
          <cell r="D426">
            <v>124388.811</v>
          </cell>
          <cell r="E426">
            <v>0</v>
          </cell>
          <cell r="F426">
            <v>0</v>
          </cell>
          <cell r="G426">
            <v>0</v>
          </cell>
          <cell r="H426">
            <v>124388.811</v>
          </cell>
          <cell r="I426" t="str">
            <v>Charges Financières nettes</v>
          </cell>
          <cell r="J426">
            <v>124388.811</v>
          </cell>
          <cell r="K426">
            <v>0</v>
          </cell>
          <cell r="L426">
            <v>0</v>
          </cell>
          <cell r="M426">
            <v>124388.811</v>
          </cell>
        </row>
        <row r="427">
          <cell r="B427">
            <v>658000000</v>
          </cell>
          <cell r="C427" t="str">
            <v>CHAR.FINA.LIE. MOD.COM</v>
          </cell>
          <cell r="H427">
            <v>0</v>
          </cell>
          <cell r="J427">
            <v>0</v>
          </cell>
          <cell r="K427">
            <v>0</v>
          </cell>
          <cell r="L427">
            <v>0</v>
          </cell>
          <cell r="M427">
            <v>0</v>
          </cell>
        </row>
        <row r="428">
          <cell r="B428">
            <v>661100000</v>
          </cell>
          <cell r="C428" t="str">
            <v>T F P</v>
          </cell>
          <cell r="D428">
            <v>0</v>
          </cell>
          <cell r="E428">
            <v>0</v>
          </cell>
          <cell r="F428">
            <v>13719.277</v>
          </cell>
          <cell r="G428">
            <v>0</v>
          </cell>
          <cell r="H428">
            <v>13719.277</v>
          </cell>
          <cell r="I428" t="str">
            <v>Autres Charges d'Exploitation</v>
          </cell>
          <cell r="J428">
            <v>13719.277</v>
          </cell>
          <cell r="K428">
            <v>0</v>
          </cell>
          <cell r="L428">
            <v>0</v>
          </cell>
          <cell r="M428">
            <v>13719.277</v>
          </cell>
        </row>
        <row r="429">
          <cell r="B429">
            <v>661200000</v>
          </cell>
          <cell r="C429" t="str">
            <v>FOPROLOS</v>
          </cell>
          <cell r="D429">
            <v>0</v>
          </cell>
          <cell r="E429">
            <v>0</v>
          </cell>
          <cell r="F429">
            <v>6859.6360000000004</v>
          </cell>
          <cell r="G429">
            <v>0</v>
          </cell>
          <cell r="H429">
            <v>6859.6360000000004</v>
          </cell>
          <cell r="I429" t="str">
            <v>Autres Charges d'Exploitation</v>
          </cell>
          <cell r="J429">
            <v>6859.6360000000004</v>
          </cell>
          <cell r="K429">
            <v>0</v>
          </cell>
          <cell r="L429">
            <v>0</v>
          </cell>
          <cell r="M429">
            <v>6859.6360000000004</v>
          </cell>
        </row>
        <row r="430">
          <cell r="B430">
            <v>665000000</v>
          </cell>
          <cell r="C430" t="str">
            <v>AUT.IMP.TAX.VERS.ASSIM</v>
          </cell>
          <cell r="D430">
            <v>12369.944</v>
          </cell>
          <cell r="E430">
            <v>200</v>
          </cell>
          <cell r="F430">
            <v>17400.225999999999</v>
          </cell>
          <cell r="G430">
            <v>824</v>
          </cell>
          <cell r="H430">
            <v>30794.17</v>
          </cell>
          <cell r="I430" t="str">
            <v>Autres Charges d'Exploitation</v>
          </cell>
          <cell r="J430">
            <v>30794.17</v>
          </cell>
          <cell r="K430">
            <v>0</v>
          </cell>
          <cell r="L430">
            <v>0</v>
          </cell>
          <cell r="M430">
            <v>30794.17</v>
          </cell>
        </row>
        <row r="431">
          <cell r="B431">
            <v>665200000</v>
          </cell>
          <cell r="C431" t="str">
            <v>TAX/LE CHIF.D'AFF.N.REC</v>
          </cell>
          <cell r="D431">
            <v>81090.045000000013</v>
          </cell>
          <cell r="E431">
            <v>143.55099999999999</v>
          </cell>
          <cell r="F431">
            <v>78348.077999999994</v>
          </cell>
          <cell r="G431">
            <v>231.53100000000001</v>
          </cell>
          <cell r="H431">
            <v>159813.20499999999</v>
          </cell>
          <cell r="I431" t="str">
            <v>Autres Charges d'Exploitation</v>
          </cell>
          <cell r="J431">
            <v>159813.20499999999</v>
          </cell>
          <cell r="K431">
            <v>0</v>
          </cell>
          <cell r="L431">
            <v>0</v>
          </cell>
          <cell r="M431">
            <v>159813.20499999999</v>
          </cell>
        </row>
        <row r="432">
          <cell r="B432">
            <v>665400000</v>
          </cell>
          <cell r="C432" t="str">
            <v>DROITS D'EREG.DE TIM</v>
          </cell>
          <cell r="D432">
            <v>12656.171000000002</v>
          </cell>
          <cell r="E432">
            <v>0.6</v>
          </cell>
          <cell r="F432">
            <v>9932.2559999999994</v>
          </cell>
          <cell r="G432">
            <v>12.600999999999999</v>
          </cell>
          <cell r="H432">
            <v>22601.628000000001</v>
          </cell>
          <cell r="I432" t="str">
            <v>Autres Charges d'Exploitation</v>
          </cell>
          <cell r="J432">
            <v>22601.628000000001</v>
          </cell>
          <cell r="K432">
            <v>0</v>
          </cell>
          <cell r="L432">
            <v>0</v>
          </cell>
          <cell r="M432">
            <v>22601.628000000001</v>
          </cell>
        </row>
        <row r="433">
          <cell r="B433">
            <v>665500000</v>
          </cell>
          <cell r="C433" t="str">
            <v>TAXE SUR LES VEHICULE</v>
          </cell>
          <cell r="D433">
            <v>6449.0509999999995</v>
          </cell>
          <cell r="E433">
            <v>0</v>
          </cell>
          <cell r="F433">
            <v>11526.768</v>
          </cell>
          <cell r="G433">
            <v>401.33300000000003</v>
          </cell>
          <cell r="H433">
            <v>18377.151999999998</v>
          </cell>
          <cell r="I433" t="str">
            <v>Autres Charges d'Exploitation</v>
          </cell>
          <cell r="J433">
            <v>18377.151999999998</v>
          </cell>
          <cell r="K433">
            <v>0</v>
          </cell>
          <cell r="L433">
            <v>0</v>
          </cell>
          <cell r="M433">
            <v>18377.151999999998</v>
          </cell>
        </row>
        <row r="434">
          <cell r="B434">
            <v>665800000</v>
          </cell>
          <cell r="C434" t="str">
            <v>AUTRES DROITS</v>
          </cell>
          <cell r="D434">
            <v>0</v>
          </cell>
          <cell r="E434">
            <v>0</v>
          </cell>
          <cell r="F434">
            <v>1721.5</v>
          </cell>
          <cell r="G434">
            <v>0</v>
          </cell>
          <cell r="H434">
            <v>1721.5</v>
          </cell>
          <cell r="I434" t="str">
            <v>Autres Charges d'Exploitation</v>
          </cell>
          <cell r="J434">
            <v>1721.5</v>
          </cell>
          <cell r="K434">
            <v>0</v>
          </cell>
          <cell r="L434">
            <v>0</v>
          </cell>
          <cell r="M434">
            <v>1721.5</v>
          </cell>
        </row>
        <row r="435">
          <cell r="B435">
            <v>670000000</v>
          </cell>
          <cell r="C435" t="str">
            <v xml:space="preserve">Quote part des titres mis en équivalence </v>
          </cell>
          <cell r="D435">
            <v>0</v>
          </cell>
          <cell r="E435">
            <v>0</v>
          </cell>
          <cell r="F435">
            <v>0</v>
          </cell>
          <cell r="G435">
            <v>0</v>
          </cell>
          <cell r="H435">
            <v>0</v>
          </cell>
          <cell r="I435" t="str">
            <v xml:space="preserve">Quote part des titres mis en équivalence </v>
          </cell>
          <cell r="J435">
            <v>0</v>
          </cell>
          <cell r="K435">
            <v>0</v>
          </cell>
          <cell r="L435">
            <v>0</v>
          </cell>
          <cell r="M435">
            <v>0</v>
          </cell>
        </row>
        <row r="436">
          <cell r="B436">
            <v>670000000</v>
          </cell>
          <cell r="C436" t="str">
            <v>PRETES EXTRAORDINAIR</v>
          </cell>
          <cell r="D436">
            <v>0</v>
          </cell>
          <cell r="E436">
            <v>0</v>
          </cell>
          <cell r="F436">
            <v>0</v>
          </cell>
          <cell r="G436">
            <v>0</v>
          </cell>
          <cell r="H436">
            <v>0</v>
          </cell>
          <cell r="I436" t="str">
            <v>Autres Charges d'Exploitation</v>
          </cell>
          <cell r="J436">
            <v>0</v>
          </cell>
          <cell r="K436">
            <v>0</v>
          </cell>
          <cell r="L436">
            <v>0</v>
          </cell>
          <cell r="M436">
            <v>0</v>
          </cell>
        </row>
        <row r="437">
          <cell r="B437">
            <v>670000001</v>
          </cell>
          <cell r="C437" t="str">
            <v xml:space="preserve">Quote part du groupe dans le résultat net des entreprises cédées  </v>
          </cell>
          <cell r="H437">
            <v>0</v>
          </cell>
          <cell r="J437">
            <v>0</v>
          </cell>
          <cell r="K437">
            <v>0</v>
          </cell>
          <cell r="L437">
            <v>0</v>
          </cell>
          <cell r="M437">
            <v>0</v>
          </cell>
        </row>
        <row r="438">
          <cell r="B438">
            <v>680100000</v>
          </cell>
          <cell r="C438" t="str">
            <v>DOTA AUS AMOR.  GOOD WILL</v>
          </cell>
          <cell r="H438">
            <v>0</v>
          </cell>
          <cell r="I438" t="str">
            <v>Dotation aux Amortissements écart d'acquisition positif</v>
          </cell>
          <cell r="J438">
            <v>0</v>
          </cell>
          <cell r="K438">
            <v>0</v>
          </cell>
          <cell r="L438">
            <v>0</v>
          </cell>
          <cell r="M438">
            <v>0</v>
          </cell>
        </row>
        <row r="439">
          <cell r="B439">
            <v>681100000</v>
          </cell>
          <cell r="C439" t="str">
            <v>Dotations aux amortissements des immobilisations incorporelles et corporelles</v>
          </cell>
          <cell r="H439">
            <v>0</v>
          </cell>
          <cell r="J439">
            <v>0</v>
          </cell>
          <cell r="K439">
            <v>0</v>
          </cell>
          <cell r="L439">
            <v>0</v>
          </cell>
          <cell r="M439">
            <v>0</v>
          </cell>
        </row>
        <row r="440">
          <cell r="B440">
            <v>681110000</v>
          </cell>
          <cell r="C440" t="str">
            <v>DOTAT.AMORT.IMMO.INCORP.</v>
          </cell>
          <cell r="D440">
            <v>192.94</v>
          </cell>
          <cell r="E440">
            <v>0</v>
          </cell>
          <cell r="F440">
            <v>0</v>
          </cell>
          <cell r="G440">
            <v>0</v>
          </cell>
          <cell r="H440">
            <v>192.94</v>
          </cell>
          <cell r="I440" t="str">
            <v>Dotation aux Amortissements</v>
          </cell>
          <cell r="J440">
            <v>192.94</v>
          </cell>
          <cell r="K440">
            <v>0</v>
          </cell>
          <cell r="L440">
            <v>0</v>
          </cell>
          <cell r="M440">
            <v>192.94</v>
          </cell>
        </row>
        <row r="441">
          <cell r="B441">
            <v>681120000</v>
          </cell>
          <cell r="C441" t="str">
            <v>IMMOBILISATION CORPO</v>
          </cell>
          <cell r="D441">
            <v>2042039.1260000002</v>
          </cell>
          <cell r="E441">
            <v>124759.28599999999</v>
          </cell>
          <cell r="F441">
            <v>158209.361</v>
          </cell>
          <cell r="G441">
            <v>33888.406999999999</v>
          </cell>
          <cell r="H441">
            <v>2358896.1800000002</v>
          </cell>
          <cell r="I441" t="str">
            <v>Dotation aux Amortissements</v>
          </cell>
          <cell r="J441">
            <v>2358896.1800000002</v>
          </cell>
          <cell r="K441">
            <v>0</v>
          </cell>
          <cell r="L441">
            <v>63898.071836630043</v>
          </cell>
          <cell r="M441">
            <v>2294998.1081633703</v>
          </cell>
        </row>
        <row r="442">
          <cell r="B442">
            <v>681200000</v>
          </cell>
          <cell r="C442" t="str">
            <v>DOT AU RESOR.CHA.REPO</v>
          </cell>
          <cell r="H442">
            <v>0</v>
          </cell>
          <cell r="I442" t="str">
            <v xml:space="preserve">Dotation aux Provisions </v>
          </cell>
          <cell r="J442">
            <v>0</v>
          </cell>
          <cell r="K442">
            <v>0</v>
          </cell>
          <cell r="L442">
            <v>0</v>
          </cell>
          <cell r="M442">
            <v>0</v>
          </cell>
        </row>
        <row r="443">
          <cell r="B443">
            <v>681500000</v>
          </cell>
          <cell r="C443" t="str">
            <v>DOT.PRO.RIS&amp;CHA.EXPL</v>
          </cell>
          <cell r="D443">
            <v>4531.8</v>
          </cell>
          <cell r="E443">
            <v>0</v>
          </cell>
          <cell r="F443">
            <v>161736.076</v>
          </cell>
          <cell r="G443">
            <v>0</v>
          </cell>
          <cell r="H443">
            <v>166267.87599999999</v>
          </cell>
          <cell r="I443" t="str">
            <v xml:space="preserve">Dotation aux Provisions </v>
          </cell>
          <cell r="J443">
            <v>166267.87599999999</v>
          </cell>
          <cell r="K443">
            <v>793444.85400000005</v>
          </cell>
          <cell r="L443">
            <v>161736.076</v>
          </cell>
          <cell r="M443">
            <v>797976.65399999998</v>
          </cell>
        </row>
        <row r="444">
          <cell r="B444">
            <v>681700000</v>
          </cell>
          <cell r="C444" t="str">
            <v>DOT.PROV.DEP.ACT.COU</v>
          </cell>
          <cell r="D444">
            <v>91919.323000000033</v>
          </cell>
          <cell r="E444">
            <v>0</v>
          </cell>
          <cell r="F444">
            <v>98964.28</v>
          </cell>
          <cell r="G444">
            <v>0</v>
          </cell>
          <cell r="H444">
            <v>190883.60300000003</v>
          </cell>
          <cell r="I444" t="str">
            <v xml:space="preserve">Dotation aux Provisions </v>
          </cell>
          <cell r="J444">
            <v>190883.60300000003</v>
          </cell>
          <cell r="K444">
            <v>0</v>
          </cell>
          <cell r="L444">
            <v>0</v>
          </cell>
          <cell r="M444">
            <v>190883.60300000003</v>
          </cell>
        </row>
        <row r="445">
          <cell r="B445">
            <v>681800000</v>
          </cell>
          <cell r="C445" t="str">
            <v>DOT.PROV.pour frs débiteurs</v>
          </cell>
          <cell r="D445">
            <v>5873.15</v>
          </cell>
          <cell r="E445">
            <v>0</v>
          </cell>
          <cell r="F445">
            <v>0</v>
          </cell>
          <cell r="G445">
            <v>0</v>
          </cell>
          <cell r="H445">
            <v>5873.15</v>
          </cell>
          <cell r="I445" t="str">
            <v xml:space="preserve">Dotation aux Provisions </v>
          </cell>
          <cell r="J445">
            <v>5873.15</v>
          </cell>
          <cell r="K445">
            <v>0</v>
          </cell>
          <cell r="L445">
            <v>0</v>
          </cell>
          <cell r="M445">
            <v>5873.15</v>
          </cell>
        </row>
        <row r="446">
          <cell r="B446">
            <v>686000000</v>
          </cell>
          <cell r="C446" t="str">
            <v>Dotations aux amortissements et aux provisions -charges financières</v>
          </cell>
          <cell r="H446">
            <v>0</v>
          </cell>
          <cell r="J446">
            <v>0</v>
          </cell>
          <cell r="K446">
            <v>0</v>
          </cell>
          <cell r="L446">
            <v>0</v>
          </cell>
          <cell r="M446">
            <v>0</v>
          </cell>
        </row>
        <row r="447">
          <cell r="B447">
            <v>690000000</v>
          </cell>
          <cell r="C447" t="str">
            <v>IMPOTS SUR LES BENIF</v>
          </cell>
          <cell r="D447">
            <v>182549.1</v>
          </cell>
          <cell r="E447">
            <v>0</v>
          </cell>
          <cell r="F447">
            <v>261003.3</v>
          </cell>
          <cell r="G447">
            <v>9360</v>
          </cell>
          <cell r="H447">
            <v>452912.4</v>
          </cell>
          <cell r="I447" t="str">
            <v>Impots sur les bénéfices</v>
          </cell>
          <cell r="J447">
            <v>452912.4</v>
          </cell>
          <cell r="K447">
            <v>0</v>
          </cell>
          <cell r="L447">
            <v>0</v>
          </cell>
          <cell r="M447">
            <v>452912.4</v>
          </cell>
        </row>
        <row r="448">
          <cell r="B448">
            <v>692000000</v>
          </cell>
          <cell r="C448" t="str">
            <v>IMPOTS SUR LES BENIF DIFFERE</v>
          </cell>
          <cell r="H448">
            <v>0</v>
          </cell>
          <cell r="I448" t="str">
            <v>Impots sur les bénéfices</v>
          </cell>
          <cell r="J448">
            <v>0</v>
          </cell>
          <cell r="K448">
            <v>0</v>
          </cell>
          <cell r="L448">
            <v>0</v>
          </cell>
          <cell r="M448">
            <v>0</v>
          </cell>
        </row>
        <row r="449">
          <cell r="B449">
            <v>700000000</v>
          </cell>
          <cell r="C449" t="str">
            <v>VEN.PRO.PRES.SERV.MARC</v>
          </cell>
          <cell r="D449">
            <v>-28572437.77</v>
          </cell>
          <cell r="E449">
            <v>-118305.23</v>
          </cell>
          <cell r="F449">
            <v>32811.957000000002</v>
          </cell>
          <cell r="G449">
            <v>-97282.5</v>
          </cell>
          <cell r="H449">
            <v>-28755213.543000001</v>
          </cell>
          <cell r="I449" t="str">
            <v xml:space="preserve">Revenus </v>
          </cell>
          <cell r="J449">
            <v>-28755213.543000001</v>
          </cell>
          <cell r="K449">
            <v>28359257.884163283</v>
          </cell>
          <cell r="L449">
            <v>0</v>
          </cell>
          <cell r="M449">
            <v>-395955.65883671865</v>
          </cell>
        </row>
        <row r="450">
          <cell r="B450">
            <v>701010000</v>
          </cell>
          <cell r="C450" t="str">
            <v>VENTE DE PRO. FIN LOC</v>
          </cell>
          <cell r="H450">
            <v>0</v>
          </cell>
          <cell r="I450" t="str">
            <v xml:space="preserve">Revenus </v>
          </cell>
          <cell r="J450">
            <v>0</v>
          </cell>
          <cell r="K450">
            <v>0</v>
          </cell>
          <cell r="L450">
            <v>0</v>
          </cell>
          <cell r="M450">
            <v>0</v>
          </cell>
        </row>
        <row r="451">
          <cell r="B451">
            <v>701020000</v>
          </cell>
          <cell r="C451" t="str">
            <v>VENT.PROD.FIN.ETRANGE</v>
          </cell>
          <cell r="D451">
            <v>-9010087.4325269982</v>
          </cell>
          <cell r="E451">
            <v>0</v>
          </cell>
          <cell r="F451">
            <v>0</v>
          </cell>
          <cell r="G451">
            <v>0</v>
          </cell>
          <cell r="H451">
            <v>-9010087.4325269982</v>
          </cell>
          <cell r="I451" t="str">
            <v xml:space="preserve">Revenus </v>
          </cell>
          <cell r="J451">
            <v>-9010087.4325269982</v>
          </cell>
          <cell r="K451">
            <v>0</v>
          </cell>
          <cell r="L451">
            <v>0</v>
          </cell>
          <cell r="M451">
            <v>-9010087.4325269982</v>
          </cell>
        </row>
        <row r="452">
          <cell r="B452">
            <v>705000000</v>
          </cell>
          <cell r="C452" t="str">
            <v>ETUD. ET PREST.DE SER</v>
          </cell>
          <cell r="H452">
            <v>0</v>
          </cell>
          <cell r="J452">
            <v>0</v>
          </cell>
          <cell r="K452">
            <v>0</v>
          </cell>
          <cell r="L452">
            <v>0</v>
          </cell>
          <cell r="M452">
            <v>0</v>
          </cell>
        </row>
        <row r="453">
          <cell r="B453">
            <v>706000000</v>
          </cell>
          <cell r="C453" t="str">
            <v>PRODUI.DES ACTIV.ANNES</v>
          </cell>
          <cell r="D453">
            <v>0</v>
          </cell>
          <cell r="E453">
            <v>0</v>
          </cell>
          <cell r="F453">
            <v>-55000</v>
          </cell>
          <cell r="G453">
            <v>0</v>
          </cell>
          <cell r="H453">
            <v>-55000</v>
          </cell>
          <cell r="I453" t="str">
            <v xml:space="preserve">Revenus </v>
          </cell>
          <cell r="J453">
            <v>-55000</v>
          </cell>
          <cell r="K453">
            <v>55000</v>
          </cell>
          <cell r="L453">
            <v>0</v>
          </cell>
          <cell r="M453">
            <v>0</v>
          </cell>
        </row>
        <row r="454">
          <cell r="B454">
            <v>706001000</v>
          </cell>
          <cell r="C454" t="str">
            <v>REMB.ASSUR.SINISTRE</v>
          </cell>
          <cell r="D454">
            <v>0</v>
          </cell>
          <cell r="E454">
            <v>0</v>
          </cell>
          <cell r="F454">
            <v>-14313.282999999999</v>
          </cell>
          <cell r="G454">
            <v>0</v>
          </cell>
          <cell r="H454">
            <v>-14313.282999999999</v>
          </cell>
          <cell r="I454" t="str">
            <v xml:space="preserve">Revenus </v>
          </cell>
          <cell r="J454">
            <v>-14313.282999999999</v>
          </cell>
          <cell r="K454">
            <v>0</v>
          </cell>
          <cell r="L454">
            <v>0</v>
          </cell>
          <cell r="M454">
            <v>-14313.282999999999</v>
          </cell>
        </row>
        <row r="455">
          <cell r="B455">
            <v>706050000</v>
          </cell>
          <cell r="C455" t="str">
            <v>locations batmnts agrles</v>
          </cell>
          <cell r="D455">
            <v>0</v>
          </cell>
          <cell r="E455">
            <v>0</v>
          </cell>
          <cell r="F455">
            <v>0</v>
          </cell>
          <cell r="G455">
            <v>0</v>
          </cell>
          <cell r="H455">
            <v>0</v>
          </cell>
          <cell r="J455">
            <v>0</v>
          </cell>
          <cell r="K455">
            <v>0</v>
          </cell>
          <cell r="L455">
            <v>0</v>
          </cell>
          <cell r="M455">
            <v>0</v>
          </cell>
        </row>
        <row r="456">
          <cell r="B456">
            <v>706005000</v>
          </cell>
          <cell r="C456" t="str">
            <v>LOCATIONS DIVERSES</v>
          </cell>
          <cell r="D456">
            <v>-38499.300000000003</v>
          </cell>
          <cell r="E456">
            <v>0</v>
          </cell>
          <cell r="F456">
            <v>0</v>
          </cell>
          <cell r="G456">
            <v>0</v>
          </cell>
          <cell r="H456">
            <v>-38499.300000000003</v>
          </cell>
          <cell r="I456" t="str">
            <v xml:space="preserve">Revenus </v>
          </cell>
          <cell r="J456">
            <v>-38499.300000000003</v>
          </cell>
          <cell r="K456">
            <v>38499.300000000003</v>
          </cell>
          <cell r="L456">
            <v>0</v>
          </cell>
          <cell r="M456">
            <v>0</v>
          </cell>
        </row>
        <row r="457">
          <cell r="B457">
            <v>707000000</v>
          </cell>
          <cell r="C457" t="str">
            <v>Vente de marchandise</v>
          </cell>
          <cell r="D457">
            <v>0</v>
          </cell>
          <cell r="E457">
            <v>0</v>
          </cell>
          <cell r="F457">
            <v>-33022614.489999998</v>
          </cell>
          <cell r="G457">
            <v>0</v>
          </cell>
          <cell r="H457">
            <v>-33022614.489999998</v>
          </cell>
          <cell r="I457" t="str">
            <v xml:space="preserve">Revenus </v>
          </cell>
          <cell r="J457">
            <v>-33022614.489999998</v>
          </cell>
          <cell r="K457">
            <v>0</v>
          </cell>
          <cell r="L457">
            <v>0</v>
          </cell>
          <cell r="M457">
            <v>-33022614.489999998</v>
          </cell>
        </row>
        <row r="458">
          <cell r="B458">
            <v>709000000</v>
          </cell>
          <cell r="C458" t="str">
            <v>R R R ACCOR.PAR L'EN</v>
          </cell>
          <cell r="D458">
            <v>0</v>
          </cell>
          <cell r="E458">
            <v>0</v>
          </cell>
          <cell r="F458">
            <v>0</v>
          </cell>
          <cell r="G458">
            <v>0</v>
          </cell>
          <cell r="H458">
            <v>0</v>
          </cell>
          <cell r="I458" t="str">
            <v xml:space="preserve">Revenus </v>
          </cell>
          <cell r="J458">
            <v>0</v>
          </cell>
          <cell r="K458">
            <v>0</v>
          </cell>
          <cell r="L458">
            <v>0</v>
          </cell>
          <cell r="M458">
            <v>0</v>
          </cell>
        </row>
        <row r="459">
          <cell r="B459">
            <v>713500000</v>
          </cell>
          <cell r="C459" t="str">
            <v>VARIATION DES STOC.PRO</v>
          </cell>
          <cell r="D459">
            <v>1054861.4079999998</v>
          </cell>
          <cell r="E459">
            <v>0</v>
          </cell>
          <cell r="F459">
            <v>0</v>
          </cell>
          <cell r="G459">
            <v>0</v>
          </cell>
          <cell r="H459">
            <v>1054861.4079999998</v>
          </cell>
          <cell r="I459" t="str">
            <v xml:space="preserve">Variation stock produits finis </v>
          </cell>
          <cell r="J459">
            <v>1054861.4079999998</v>
          </cell>
          <cell r="K459">
            <v>0</v>
          </cell>
          <cell r="L459">
            <v>0</v>
          </cell>
          <cell r="M459">
            <v>1054861.4079999998</v>
          </cell>
        </row>
        <row r="460">
          <cell r="B460">
            <v>713500100</v>
          </cell>
          <cell r="C460" t="str">
            <v>ECART INVENTAIRES</v>
          </cell>
          <cell r="H460">
            <v>0</v>
          </cell>
          <cell r="J460">
            <v>0</v>
          </cell>
          <cell r="K460">
            <v>0</v>
          </cell>
          <cell r="L460">
            <v>0</v>
          </cell>
          <cell r="M460">
            <v>0</v>
          </cell>
        </row>
        <row r="461">
          <cell r="B461">
            <v>736000000</v>
          </cell>
          <cell r="C461" t="str">
            <v>PRD.NE/CES.D'IM&amp;GAI.EX</v>
          </cell>
          <cell r="F461">
            <v>-11000</v>
          </cell>
          <cell r="H461">
            <v>-11000</v>
          </cell>
          <cell r="I461" t="str">
            <v xml:space="preserve">Autres gains ordinaires </v>
          </cell>
          <cell r="J461">
            <v>-11000</v>
          </cell>
          <cell r="K461">
            <v>0</v>
          </cell>
          <cell r="L461">
            <v>0</v>
          </cell>
          <cell r="M461">
            <v>-11000</v>
          </cell>
        </row>
        <row r="462">
          <cell r="B462">
            <v>736010000</v>
          </cell>
          <cell r="C462" t="str">
            <v>PROD.NET/CES D'IMMO</v>
          </cell>
          <cell r="D462">
            <v>-7245.4459999999999</v>
          </cell>
          <cell r="E462">
            <v>0</v>
          </cell>
          <cell r="F462">
            <v>0</v>
          </cell>
          <cell r="G462">
            <v>0</v>
          </cell>
          <cell r="H462">
            <v>-7245.4459999999999</v>
          </cell>
          <cell r="I462" t="str">
            <v xml:space="preserve">Autres gains ordinaires </v>
          </cell>
          <cell r="J462">
            <v>-7245.4459999999999</v>
          </cell>
          <cell r="K462">
            <v>0</v>
          </cell>
          <cell r="L462">
            <v>0</v>
          </cell>
          <cell r="M462">
            <v>-7245.4459999999999</v>
          </cell>
        </row>
        <row r="463">
          <cell r="B463">
            <v>736020000</v>
          </cell>
          <cell r="C463" t="str">
            <v>AUTRE PRODUITS EXEP</v>
          </cell>
          <cell r="D463">
            <v>-6902.4280000000017</v>
          </cell>
          <cell r="E463">
            <v>-1E-3</v>
          </cell>
          <cell r="F463">
            <v>-8580.509</v>
          </cell>
          <cell r="G463">
            <v>-461.50900000000001</v>
          </cell>
          <cell r="H463">
            <v>-15944.447000000002</v>
          </cell>
          <cell r="I463" t="str">
            <v xml:space="preserve">Autres gains ordinaires </v>
          </cell>
          <cell r="J463">
            <v>-15944.447000000002</v>
          </cell>
          <cell r="K463">
            <v>0</v>
          </cell>
          <cell r="L463">
            <v>0</v>
          </cell>
          <cell r="M463">
            <v>-15944.447000000002</v>
          </cell>
        </row>
        <row r="464">
          <cell r="B464">
            <v>739000000</v>
          </cell>
          <cell r="C464" t="str">
            <v>Quote.parts subv.d'inves</v>
          </cell>
          <cell r="D464">
            <v>-182647.82</v>
          </cell>
          <cell r="E464">
            <v>0</v>
          </cell>
          <cell r="F464">
            <v>0</v>
          </cell>
          <cell r="G464">
            <v>0</v>
          </cell>
          <cell r="H464">
            <v>-182647.82</v>
          </cell>
          <cell r="I464" t="str">
            <v xml:space="preserve">Autres produits d'exploitation </v>
          </cell>
          <cell r="J464">
            <v>-182647.82</v>
          </cell>
          <cell r="K464">
            <v>0</v>
          </cell>
          <cell r="L464">
            <v>0</v>
          </cell>
          <cell r="M464">
            <v>-182647.82</v>
          </cell>
        </row>
        <row r="465">
          <cell r="B465">
            <v>750000000</v>
          </cell>
          <cell r="C465" t="str">
            <v>Produit de placement</v>
          </cell>
          <cell r="H465">
            <v>0</v>
          </cell>
          <cell r="I465" t="str">
            <v xml:space="preserve">Autres produits d'exploitation </v>
          </cell>
          <cell r="J465">
            <v>0</v>
          </cell>
          <cell r="K465">
            <v>0</v>
          </cell>
          <cell r="L465">
            <v>0</v>
          </cell>
          <cell r="M465">
            <v>0</v>
          </cell>
        </row>
        <row r="466">
          <cell r="B466">
            <v>751100000</v>
          </cell>
          <cell r="C466" t="str">
            <v>BAD WILL</v>
          </cell>
          <cell r="H466">
            <v>0</v>
          </cell>
          <cell r="J466">
            <v>0</v>
          </cell>
          <cell r="K466">
            <v>0</v>
          </cell>
          <cell r="L466">
            <v>0</v>
          </cell>
          <cell r="M466">
            <v>0</v>
          </cell>
        </row>
        <row r="467">
          <cell r="B467">
            <v>753000000</v>
          </cell>
          <cell r="C467" t="str">
            <v>REVENUS DES AUT. CREA</v>
          </cell>
          <cell r="D467">
            <v>0</v>
          </cell>
          <cell r="E467">
            <v>0</v>
          </cell>
          <cell r="F467">
            <v>0</v>
          </cell>
          <cell r="G467">
            <v>0</v>
          </cell>
          <cell r="H467">
            <v>0</v>
          </cell>
          <cell r="I467" t="str">
            <v xml:space="preserve">Autres gains ordinaires </v>
          </cell>
          <cell r="J467">
            <v>0</v>
          </cell>
          <cell r="K467">
            <v>0</v>
          </cell>
          <cell r="L467">
            <v>0</v>
          </cell>
          <cell r="M467">
            <v>0</v>
          </cell>
        </row>
        <row r="468">
          <cell r="B468">
            <v>754000000</v>
          </cell>
          <cell r="C468" t="str">
            <v>REVENU VAL.MOB.PLAC</v>
          </cell>
          <cell r="D468">
            <v>0</v>
          </cell>
          <cell r="E468">
            <v>0</v>
          </cell>
          <cell r="F468">
            <v>0</v>
          </cell>
          <cell r="G468">
            <v>-62400</v>
          </cell>
          <cell r="H468">
            <v>-62400</v>
          </cell>
          <cell r="I468" t="str">
            <v>Produits des Placements</v>
          </cell>
          <cell r="J468">
            <v>-62400</v>
          </cell>
          <cell r="K468">
            <v>62400</v>
          </cell>
          <cell r="L468">
            <v>0</v>
          </cell>
          <cell r="M468">
            <v>0</v>
          </cell>
        </row>
        <row r="469">
          <cell r="B469">
            <v>756000000</v>
          </cell>
          <cell r="C469" t="str">
            <v>GAINS DE CHANGES</v>
          </cell>
          <cell r="D469">
            <v>-67430.263000000006</v>
          </cell>
          <cell r="E469">
            <v>0</v>
          </cell>
          <cell r="F469">
            <v>0</v>
          </cell>
          <cell r="G469">
            <v>0</v>
          </cell>
          <cell r="H469">
            <v>-67430.263000000006</v>
          </cell>
          <cell r="I469" t="str">
            <v>Charges Financières nettes</v>
          </cell>
          <cell r="J469">
            <v>-67430.263000000006</v>
          </cell>
          <cell r="K469">
            <v>0</v>
          </cell>
          <cell r="L469">
            <v>0</v>
          </cell>
          <cell r="M469">
            <v>-67430.263000000006</v>
          </cell>
        </row>
        <row r="470">
          <cell r="B470">
            <v>757000000</v>
          </cell>
          <cell r="C470" t="str">
            <v>PROD.NET/CES.VAL.MOBI</v>
          </cell>
          <cell r="H470">
            <v>0</v>
          </cell>
          <cell r="J470">
            <v>0</v>
          </cell>
          <cell r="K470">
            <v>0</v>
          </cell>
          <cell r="L470">
            <v>0</v>
          </cell>
          <cell r="M470">
            <v>0</v>
          </cell>
        </row>
        <row r="471">
          <cell r="B471">
            <v>770000000</v>
          </cell>
          <cell r="C471" t="str">
            <v>GAINS EXTRAORDINAIRE</v>
          </cell>
          <cell r="D471">
            <v>-1.1160000000000001</v>
          </cell>
          <cell r="E471">
            <v>0</v>
          </cell>
          <cell r="F471">
            <v>0</v>
          </cell>
          <cell r="G471">
            <v>0</v>
          </cell>
          <cell r="H471">
            <v>-1.1160000000000001</v>
          </cell>
          <cell r="I471" t="str">
            <v>Charges Financières nettes</v>
          </cell>
          <cell r="J471">
            <v>-1.1160000000000001</v>
          </cell>
          <cell r="K471">
            <v>0</v>
          </cell>
          <cell r="L471">
            <v>0</v>
          </cell>
          <cell r="M471">
            <v>-1.1160000000000001</v>
          </cell>
        </row>
        <row r="472">
          <cell r="B472">
            <v>780000000</v>
          </cell>
          <cell r="C472" t="str">
            <v>Reprise/Prov.risque&amp;char</v>
          </cell>
          <cell r="D472">
            <v>-91925.683999999994</v>
          </cell>
          <cell r="E472">
            <v>0</v>
          </cell>
          <cell r="F472">
            <v>-12676.796</v>
          </cell>
          <cell r="G472">
            <v>0</v>
          </cell>
          <cell r="H472">
            <v>-104602.48</v>
          </cell>
          <cell r="I472" t="str">
            <v xml:space="preserve">Autres produits d'exploitation </v>
          </cell>
          <cell r="J472">
            <v>-104602.48</v>
          </cell>
          <cell r="K472">
            <v>0</v>
          </cell>
          <cell r="L472">
            <v>924287.477415637</v>
          </cell>
          <cell r="M472">
            <v>-1028889.957415637</v>
          </cell>
        </row>
        <row r="473">
          <cell r="B473">
            <v>780000010</v>
          </cell>
          <cell r="C473" t="str">
            <v>Reprise/Prov.frs débiteurs</v>
          </cell>
          <cell r="H473">
            <v>0</v>
          </cell>
          <cell r="J473">
            <v>0</v>
          </cell>
          <cell r="K473">
            <v>0</v>
          </cell>
          <cell r="L473">
            <v>0</v>
          </cell>
          <cell r="M473">
            <v>0</v>
          </cell>
        </row>
        <row r="474">
          <cell r="B474">
            <v>780000020</v>
          </cell>
          <cell r="C474" t="str">
            <v>Reprise/Prov.clients</v>
          </cell>
          <cell r="H474">
            <v>0</v>
          </cell>
          <cell r="J474">
            <v>0</v>
          </cell>
          <cell r="K474">
            <v>0</v>
          </cell>
          <cell r="L474">
            <v>0</v>
          </cell>
          <cell r="M474">
            <v>0</v>
          </cell>
        </row>
        <row r="475">
          <cell r="B475">
            <v>786600000</v>
          </cell>
          <cell r="C475" t="str">
            <v>Repr/prov.P.DEPR.ELEM.FI</v>
          </cell>
          <cell r="F475">
            <v>-700</v>
          </cell>
          <cell r="H475">
            <v>-700</v>
          </cell>
          <cell r="I475" t="str">
            <v xml:space="preserve">Autres produits d'exploitation </v>
          </cell>
          <cell r="J475">
            <v>-700</v>
          </cell>
          <cell r="K475">
            <v>0</v>
          </cell>
          <cell r="L475">
            <v>0</v>
          </cell>
          <cell r="M475">
            <v>-700</v>
          </cell>
        </row>
        <row r="476">
          <cell r="B476">
            <v>790000000</v>
          </cell>
          <cell r="C476" t="str">
            <v>TRANSFERT DE CHARGES</v>
          </cell>
          <cell r="H476">
            <v>0</v>
          </cell>
          <cell r="J476">
            <v>0</v>
          </cell>
          <cell r="K476">
            <v>0</v>
          </cell>
          <cell r="L476">
            <v>0</v>
          </cell>
          <cell r="M476">
            <v>0</v>
          </cell>
        </row>
        <row r="478">
          <cell r="C478" t="str">
            <v>TOTAL</v>
          </cell>
          <cell r="D478">
            <v>3.8692352245561779E-4</v>
          </cell>
          <cell r="E478">
            <v>-2.8719659896786487E-10</v>
          </cell>
          <cell r="F478">
            <v>1.4602846931666136E-8</v>
          </cell>
          <cell r="G478">
            <v>6.3300831243395805E-10</v>
          </cell>
          <cell r="H478">
            <v>3.8695026887580752E-4</v>
          </cell>
          <cell r="J478">
            <v>3.8695026887580752E-4</v>
          </cell>
          <cell r="K478">
            <v>58505003.685992539</v>
          </cell>
          <cell r="L478">
            <v>73873324.360579699</v>
          </cell>
          <cell r="M478">
            <v>-15368320.674200216</v>
          </cell>
        </row>
        <row r="480">
          <cell r="M480">
            <v>581708.77800000005</v>
          </cell>
        </row>
      </sheetData>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oans_Overview"/>
    </sheetNames>
    <sheetDataSet>
      <sheetData sheetId="0">
        <row r="3">
          <cell r="I3">
            <v>250000</v>
          </cell>
        </row>
        <row r="4">
          <cell r="I4">
            <v>287500</v>
          </cell>
        </row>
        <row r="5">
          <cell r="I5">
            <v>125000</v>
          </cell>
        </row>
        <row r="6">
          <cell r="I6">
            <v>87500</v>
          </cell>
        </row>
        <row r="7">
          <cell r="I7">
            <v>125000</v>
          </cell>
        </row>
        <row r="8">
          <cell r="I8">
            <v>1458333</v>
          </cell>
        </row>
        <row r="9">
          <cell r="I9">
            <v>833333</v>
          </cell>
        </row>
      </sheetData>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CD impact réserves et rat "/>
      <sheetName val="partage CP 2022"/>
      <sheetName val="TABLEAU DE MOUVEMENT CP"/>
      <sheetName val="Titre de participation"/>
      <sheetName val="Feuil2"/>
      <sheetName val="Balance 2022"/>
      <sheetName val="TCD Balance 2022"/>
      <sheetName val="Feuil1"/>
      <sheetName val="Journal consolidation 2022"/>
      <sheetName val="Balance globale conso 31-03-22"/>
      <sheetName val="Balance globale conso 30-06 "/>
      <sheetName val="Bal globale aprés conso 09-21"/>
      <sheetName val="Balance globale conso 30-09-22"/>
      <sheetName val="Bilan Conso TND-EUR"/>
      <sheetName val="Notes"/>
      <sheetName val="ER CONSO"/>
      <sheetName val="Etat résultat  "/>
      <sheetName val="Etat de résultat TND-EUR "/>
      <sheetName val="Balance Sheet"/>
      <sheetName val="Income Statement"/>
      <sheetName val="Cash Flow"/>
      <sheetName val="BS"/>
      <sheetName val="Non-current Assets"/>
      <sheetName val="Receivables Payables Provisions"/>
      <sheetName val="Actif EUR "/>
      <sheetName val="Passif EUR "/>
      <sheetName val="Etat-flux"/>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1">
          <cell r="D1">
            <v>0</v>
          </cell>
        </row>
      </sheetData>
      <sheetData sheetId="13"/>
      <sheetData sheetId="14"/>
      <sheetData sheetId="15"/>
      <sheetData sheetId="16"/>
      <sheetData sheetId="17"/>
      <sheetData sheetId="18">
        <row r="59">
          <cell r="C59">
            <v>9266420.5830000006</v>
          </cell>
        </row>
        <row r="60">
          <cell r="C60">
            <v>5898261.0014999993</v>
          </cell>
        </row>
        <row r="62">
          <cell r="C62">
            <v>2319253.2650000001</v>
          </cell>
        </row>
        <row r="65">
          <cell r="G65">
            <v>3071793.3550000014</v>
          </cell>
        </row>
        <row r="69">
          <cell r="C69">
            <v>19193863.083000015</v>
          </cell>
        </row>
      </sheetData>
      <sheetData sheetId="19"/>
      <sheetData sheetId="20"/>
      <sheetData sheetId="21"/>
      <sheetData sheetId="22"/>
      <sheetData sheetId="23"/>
      <sheetData sheetId="24"/>
      <sheetData sheetId="25"/>
      <sheetData sheetId="26"/>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CD impact réserves et rat "/>
      <sheetName val="partage CP 2022"/>
      <sheetName val="TABLEAU DE MOUVEMENT CP"/>
      <sheetName val="Titre de participation"/>
      <sheetName val="Feuil2"/>
      <sheetName val="Balance 2022"/>
      <sheetName val="Journal consolidation 2022"/>
      <sheetName val="Balance globale conso 2022"/>
      <sheetName val="Balance Sheet"/>
      <sheetName val="Income Statement"/>
      <sheetName val="TCD Balance 2022"/>
      <sheetName val="Feuil1"/>
      <sheetName val="Feuil3"/>
      <sheetName val="BILAN CONSO"/>
      <sheetName val="ER CONSO"/>
      <sheetName val="Etat résultat  "/>
      <sheetName val="Etat de résultat EUR "/>
      <sheetName val="Actif EUR "/>
      <sheetName val="Passif EUR "/>
      <sheetName val="Etat-flux"/>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ow r="3">
          <cell r="A3" t="str">
            <v xml:space="preserve">Somme de Solde </v>
          </cell>
          <cell r="B3" t="str">
            <v>Sté</v>
          </cell>
        </row>
        <row r="4">
          <cell r="A4" t="str">
            <v>Compte</v>
          </cell>
          <cell r="B4" t="str">
            <v>NBI</v>
          </cell>
          <cell r="C4" t="str">
            <v>SNA</v>
          </cell>
          <cell r="D4" t="str">
            <v>SND</v>
          </cell>
          <cell r="E4" t="str">
            <v>TIP</v>
          </cell>
          <cell r="F4" t="str">
            <v>SNR</v>
          </cell>
          <cell r="G4" t="str">
            <v>Total général</v>
          </cell>
        </row>
        <row r="5">
          <cell r="A5">
            <v>10100000</v>
          </cell>
          <cell r="B5">
            <v>-650000</v>
          </cell>
          <cell r="C5">
            <v>-13500000</v>
          </cell>
          <cell r="D5">
            <v>-200000</v>
          </cell>
          <cell r="E5">
            <v>-600000</v>
          </cell>
          <cell r="F5">
            <v>-6200000</v>
          </cell>
          <cell r="G5">
            <v>-21150000</v>
          </cell>
        </row>
        <row r="6">
          <cell r="A6">
            <v>11100000</v>
          </cell>
          <cell r="D6">
            <v>-20000</v>
          </cell>
          <cell r="G6">
            <v>-20000</v>
          </cell>
        </row>
        <row r="7">
          <cell r="A7">
            <v>11101000</v>
          </cell>
          <cell r="C7">
            <v>-1200000</v>
          </cell>
          <cell r="G7">
            <v>-1200000</v>
          </cell>
        </row>
        <row r="8">
          <cell r="A8">
            <v>12100000</v>
          </cell>
          <cell r="B8">
            <v>5046.8469999999943</v>
          </cell>
          <cell r="C8">
            <v>-17351323.015999999</v>
          </cell>
          <cell r="D8">
            <v>-3062441.4139999999</v>
          </cell>
          <cell r="E8">
            <v>-893501.02399999998</v>
          </cell>
          <cell r="G8">
            <v>-21302218.607000001</v>
          </cell>
        </row>
        <row r="9">
          <cell r="A9">
            <v>12800000</v>
          </cell>
          <cell r="C9">
            <v>3022190.1949999998</v>
          </cell>
          <cell r="D9">
            <v>941513.83900000004</v>
          </cell>
          <cell r="E9">
            <v>437530.92499999999</v>
          </cell>
          <cell r="G9">
            <v>4401234.9589999998</v>
          </cell>
        </row>
        <row r="10">
          <cell r="A10">
            <v>14410000</v>
          </cell>
          <cell r="D10">
            <v>-150000</v>
          </cell>
          <cell r="G10">
            <v>-150000</v>
          </cell>
        </row>
        <row r="11">
          <cell r="A11">
            <v>14500000</v>
          </cell>
          <cell r="C11">
            <v>-3479108.84</v>
          </cell>
          <cell r="G11">
            <v>-3479108.84</v>
          </cell>
        </row>
        <row r="12">
          <cell r="A12">
            <v>14508000</v>
          </cell>
          <cell r="C12">
            <v>2356770.0979999998</v>
          </cell>
          <cell r="G12">
            <v>2356770.0979999998</v>
          </cell>
        </row>
        <row r="13">
          <cell r="A13">
            <v>15100000</v>
          </cell>
          <cell r="C13">
            <v>-22564.955999999998</v>
          </cell>
          <cell r="G13">
            <v>-22564.955999999998</v>
          </cell>
        </row>
        <row r="14">
          <cell r="A14">
            <v>15120000</v>
          </cell>
          <cell r="D14">
            <v>-951854.43500000006</v>
          </cell>
          <cell r="G14">
            <v>-951854.43500000006</v>
          </cell>
        </row>
        <row r="15">
          <cell r="A15">
            <v>16210500</v>
          </cell>
          <cell r="C15">
            <v>-1041666.6630000001</v>
          </cell>
          <cell r="F15">
            <v>-3000000</v>
          </cell>
          <cell r="G15">
            <v>-4041666.6630000002</v>
          </cell>
        </row>
        <row r="16">
          <cell r="A16">
            <v>16400000</v>
          </cell>
          <cell r="C16">
            <v>-173470.93399999998</v>
          </cell>
          <cell r="G16">
            <v>-173470.93399999998</v>
          </cell>
        </row>
        <row r="17">
          <cell r="A17">
            <v>21300000</v>
          </cell>
          <cell r="C17">
            <v>80409.226999999999</v>
          </cell>
          <cell r="G17">
            <v>80409.226999999999</v>
          </cell>
        </row>
        <row r="18">
          <cell r="A18">
            <v>22100000</v>
          </cell>
          <cell r="C18">
            <v>1275724</v>
          </cell>
          <cell r="D18">
            <v>496788.9</v>
          </cell>
          <cell r="E18">
            <v>64000</v>
          </cell>
          <cell r="F18">
            <v>4413790</v>
          </cell>
          <cell r="G18">
            <v>6250302.9000000004</v>
          </cell>
        </row>
        <row r="19">
          <cell r="A19">
            <v>22160000</v>
          </cell>
          <cell r="C19">
            <v>161921.53599999999</v>
          </cell>
          <cell r="G19">
            <v>161921.53599999999</v>
          </cell>
        </row>
        <row r="20">
          <cell r="A20">
            <v>22200000</v>
          </cell>
          <cell r="C20">
            <v>9027583.0759999994</v>
          </cell>
          <cell r="F20">
            <v>0</v>
          </cell>
          <cell r="G20">
            <v>9027583.0759999994</v>
          </cell>
        </row>
        <row r="21">
          <cell r="A21">
            <v>22250000</v>
          </cell>
          <cell r="C21">
            <v>600750.27899999998</v>
          </cell>
          <cell r="E21">
            <v>6543.75</v>
          </cell>
          <cell r="G21">
            <v>607294.02899999998</v>
          </cell>
        </row>
        <row r="22">
          <cell r="A22">
            <v>22251000</v>
          </cell>
          <cell r="D22">
            <v>31296.977999999999</v>
          </cell>
          <cell r="G22">
            <v>31296.977999999999</v>
          </cell>
        </row>
        <row r="23">
          <cell r="A23">
            <v>22300000</v>
          </cell>
          <cell r="C23">
            <v>65870.611000000004</v>
          </cell>
          <cell r="G23">
            <v>65870.611000000004</v>
          </cell>
        </row>
        <row r="24">
          <cell r="A24">
            <v>22310000</v>
          </cell>
          <cell r="E24">
            <v>3842.7249999999999</v>
          </cell>
          <cell r="G24">
            <v>3842.7249999999999</v>
          </cell>
        </row>
        <row r="25">
          <cell r="A25">
            <v>22340000</v>
          </cell>
          <cell r="B25">
            <v>1191994.1459999999</v>
          </cell>
          <cell r="C25">
            <v>21854400.979000002</v>
          </cell>
          <cell r="D25">
            <v>50500.06</v>
          </cell>
          <cell r="E25">
            <v>172000</v>
          </cell>
          <cell r="G25">
            <v>23268895.185000002</v>
          </cell>
        </row>
        <row r="26">
          <cell r="A26">
            <v>22350000</v>
          </cell>
          <cell r="C26">
            <v>595918.13</v>
          </cell>
          <cell r="D26">
            <v>190</v>
          </cell>
          <cell r="G26">
            <v>596108.13</v>
          </cell>
        </row>
        <row r="27">
          <cell r="A27">
            <v>22370000</v>
          </cell>
          <cell r="C27">
            <v>879252.85600000003</v>
          </cell>
          <cell r="G27">
            <v>879252.85600000003</v>
          </cell>
        </row>
        <row r="28">
          <cell r="A28">
            <v>22400000</v>
          </cell>
          <cell r="B28">
            <v>15000</v>
          </cell>
          <cell r="C28">
            <v>1013855.888</v>
          </cell>
          <cell r="D28">
            <v>508957.28899999999</v>
          </cell>
          <cell r="E28">
            <v>117782.269</v>
          </cell>
          <cell r="F28">
            <v>115045</v>
          </cell>
          <cell r="G28">
            <v>1770640.4460000002</v>
          </cell>
        </row>
        <row r="29">
          <cell r="A29">
            <v>22810000</v>
          </cell>
          <cell r="D29">
            <v>41113.872000000003</v>
          </cell>
          <cell r="G29">
            <v>41113.872000000003</v>
          </cell>
        </row>
        <row r="30">
          <cell r="A30">
            <v>22820000</v>
          </cell>
          <cell r="B30">
            <v>278.81299999999999</v>
          </cell>
          <cell r="C30">
            <v>248575.93100000001</v>
          </cell>
          <cell r="D30">
            <v>27966.725999999999</v>
          </cell>
          <cell r="G30">
            <v>276821.47000000003</v>
          </cell>
        </row>
        <row r="31">
          <cell r="A31">
            <v>22830000</v>
          </cell>
          <cell r="C31">
            <v>157309.568</v>
          </cell>
          <cell r="D31">
            <v>61016.453000000001</v>
          </cell>
          <cell r="E31">
            <v>2638.9</v>
          </cell>
          <cell r="G31">
            <v>220964.921</v>
          </cell>
        </row>
        <row r="32">
          <cell r="A32">
            <v>23200000</v>
          </cell>
          <cell r="C32">
            <v>2440755.4680000003</v>
          </cell>
          <cell r="F32">
            <v>449847.39600000001</v>
          </cell>
          <cell r="G32">
            <v>2890602.8640000005</v>
          </cell>
        </row>
        <row r="33">
          <cell r="A33">
            <v>23220000</v>
          </cell>
          <cell r="C33">
            <v>7912.2340000000004</v>
          </cell>
          <cell r="F33">
            <v>54331.06</v>
          </cell>
          <cell r="G33">
            <v>62243.293999999994</v>
          </cell>
        </row>
        <row r="34">
          <cell r="A34">
            <v>24000000</v>
          </cell>
          <cell r="C34">
            <v>703370.37699999998</v>
          </cell>
          <cell r="D34">
            <v>939746.071</v>
          </cell>
          <cell r="E34">
            <v>24397.485000000001</v>
          </cell>
          <cell r="G34">
            <v>1667513.933</v>
          </cell>
        </row>
        <row r="35">
          <cell r="A35">
            <v>25100000</v>
          </cell>
          <cell r="D35">
            <v>225</v>
          </cell>
          <cell r="G35">
            <v>225</v>
          </cell>
        </row>
        <row r="36">
          <cell r="A36">
            <v>25110000</v>
          </cell>
          <cell r="C36">
            <v>266820</v>
          </cell>
          <cell r="G36">
            <v>266820</v>
          </cell>
        </row>
        <row r="37">
          <cell r="A37">
            <v>25120000</v>
          </cell>
          <cell r="C37">
            <v>512700</v>
          </cell>
          <cell r="G37">
            <v>512700</v>
          </cell>
        </row>
        <row r="38">
          <cell r="A38">
            <v>25130000</v>
          </cell>
          <cell r="C38">
            <v>677000</v>
          </cell>
          <cell r="G38">
            <v>677000</v>
          </cell>
        </row>
        <row r="39">
          <cell r="A39">
            <v>25140000</v>
          </cell>
          <cell r="C39">
            <v>3150000</v>
          </cell>
          <cell r="D39">
            <v>2000</v>
          </cell>
          <cell r="E39">
            <v>1000</v>
          </cell>
          <cell r="G39">
            <v>3153000</v>
          </cell>
        </row>
        <row r="40">
          <cell r="A40">
            <v>26430000</v>
          </cell>
          <cell r="B40">
            <v>0</v>
          </cell>
          <cell r="C40">
            <v>0</v>
          </cell>
          <cell r="E40">
            <v>0</v>
          </cell>
          <cell r="G40">
            <v>0</v>
          </cell>
        </row>
        <row r="41">
          <cell r="A41">
            <v>26500000</v>
          </cell>
          <cell r="B41">
            <v>-588.20000000000005</v>
          </cell>
          <cell r="C41">
            <v>99160.491999999998</v>
          </cell>
          <cell r="D41">
            <v>157757.86499999999</v>
          </cell>
          <cell r="E41">
            <v>240</v>
          </cell>
          <cell r="G41">
            <v>256570.15700000001</v>
          </cell>
        </row>
        <row r="42">
          <cell r="A42">
            <v>28130000</v>
          </cell>
          <cell r="C42">
            <v>-67413.095000000001</v>
          </cell>
          <cell r="G42">
            <v>-67413.095000000001</v>
          </cell>
        </row>
        <row r="43">
          <cell r="A43">
            <v>28216000</v>
          </cell>
          <cell r="C43">
            <v>-145539.11299999998</v>
          </cell>
          <cell r="G43">
            <v>-145539.11299999998</v>
          </cell>
        </row>
        <row r="44">
          <cell r="A44">
            <v>28220000</v>
          </cell>
          <cell r="C44">
            <v>-3277711.6240000003</v>
          </cell>
          <cell r="G44">
            <v>-3277711.6240000003</v>
          </cell>
        </row>
        <row r="45">
          <cell r="A45">
            <v>28225000</v>
          </cell>
          <cell r="C45">
            <v>-209705.36799999999</v>
          </cell>
          <cell r="E45">
            <v>-3260.5299999999997</v>
          </cell>
          <cell r="G45">
            <v>-212965.89799999999</v>
          </cell>
        </row>
        <row r="46">
          <cell r="A46">
            <v>28225100</v>
          </cell>
          <cell r="D46">
            <v>-12039.119000000001</v>
          </cell>
          <cell r="G46">
            <v>-12039.119000000001</v>
          </cell>
        </row>
        <row r="47">
          <cell r="A47">
            <v>28231000</v>
          </cell>
          <cell r="C47">
            <v>-19731.941999999999</v>
          </cell>
          <cell r="E47">
            <v>-1850.826</v>
          </cell>
          <cell r="G47">
            <v>-21582.768</v>
          </cell>
        </row>
        <row r="48">
          <cell r="A48">
            <v>28234000</v>
          </cell>
          <cell r="B48">
            <v>-661462.29200000002</v>
          </cell>
          <cell r="C48">
            <v>-14367055.429000001</v>
          </cell>
          <cell r="D48">
            <v>-36690.315000000002</v>
          </cell>
          <cell r="E48">
            <v>-130814.24600000001</v>
          </cell>
          <cell r="G48">
            <v>-15196022.282</v>
          </cell>
        </row>
        <row r="49">
          <cell r="A49">
            <v>28235000</v>
          </cell>
          <cell r="C49">
            <v>-287927.478</v>
          </cell>
          <cell r="D49">
            <v>-38</v>
          </cell>
          <cell r="G49">
            <v>-287965.478</v>
          </cell>
        </row>
        <row r="50">
          <cell r="A50">
            <v>28237000</v>
          </cell>
          <cell r="C50">
            <v>-733400.90500000003</v>
          </cell>
          <cell r="G50">
            <v>-733400.90500000003</v>
          </cell>
        </row>
        <row r="51">
          <cell r="A51">
            <v>28240000</v>
          </cell>
          <cell r="B51">
            <v>-14991.779999999999</v>
          </cell>
          <cell r="C51">
            <v>-530600.14599999995</v>
          </cell>
          <cell r="D51">
            <v>-274375.609</v>
          </cell>
          <cell r="E51">
            <v>-36205.947</v>
          </cell>
          <cell r="G51">
            <v>-856173.48199999996</v>
          </cell>
        </row>
        <row r="52">
          <cell r="A52">
            <v>28281000</v>
          </cell>
          <cell r="D52">
            <v>-23561.32</v>
          </cell>
          <cell r="G52">
            <v>-23561.32</v>
          </cell>
        </row>
        <row r="53">
          <cell r="A53">
            <v>28282000</v>
          </cell>
          <cell r="B53">
            <v>-278.81299999999999</v>
          </cell>
          <cell r="C53">
            <v>-175530.78700000001</v>
          </cell>
          <cell r="D53">
            <v>-24233.544000000002</v>
          </cell>
          <cell r="G53">
            <v>-200043.144</v>
          </cell>
        </row>
        <row r="54">
          <cell r="A54">
            <v>28283000</v>
          </cell>
          <cell r="C54">
            <v>-94662.617999999988</v>
          </cell>
          <cell r="D54">
            <v>-50415.813000000002</v>
          </cell>
          <cell r="E54">
            <v>-2638.9</v>
          </cell>
          <cell r="G54">
            <v>-147717.33099999998</v>
          </cell>
        </row>
        <row r="55">
          <cell r="A55">
            <v>28400000</v>
          </cell>
          <cell r="C55">
            <v>-418241.01199999999</v>
          </cell>
          <cell r="D55">
            <v>-915960.32299999997</v>
          </cell>
          <cell r="E55">
            <v>-24397.486000000001</v>
          </cell>
          <cell r="G55">
            <v>-1358598.821</v>
          </cell>
        </row>
        <row r="56">
          <cell r="A56">
            <v>29282000</v>
          </cell>
          <cell r="D56">
            <v>0</v>
          </cell>
          <cell r="G56">
            <v>0</v>
          </cell>
        </row>
        <row r="57">
          <cell r="A57">
            <v>29500000</v>
          </cell>
          <cell r="D57">
            <v>-225</v>
          </cell>
          <cell r="G57">
            <v>-225</v>
          </cell>
        </row>
        <row r="58">
          <cell r="A58">
            <v>29700000</v>
          </cell>
          <cell r="C58">
            <v>-29257.384999999998</v>
          </cell>
          <cell r="G58">
            <v>-29257.384999999998</v>
          </cell>
        </row>
        <row r="59">
          <cell r="A59">
            <v>31100000</v>
          </cell>
          <cell r="C59">
            <v>11069380.784</v>
          </cell>
          <cell r="G59">
            <v>11069380.784</v>
          </cell>
        </row>
        <row r="60">
          <cell r="A60">
            <v>32100000</v>
          </cell>
          <cell r="E60">
            <v>75751.298999999999</v>
          </cell>
          <cell r="G60">
            <v>75751.298999999999</v>
          </cell>
        </row>
        <row r="61">
          <cell r="A61">
            <v>32200000</v>
          </cell>
          <cell r="C61">
            <v>583630.65099999995</v>
          </cell>
          <cell r="G61">
            <v>583630.65099999995</v>
          </cell>
        </row>
        <row r="62">
          <cell r="A62">
            <v>33100000</v>
          </cell>
          <cell r="C62">
            <v>1140754.9080000001</v>
          </cell>
          <cell r="G62">
            <v>1140754.9080000001</v>
          </cell>
        </row>
        <row r="63">
          <cell r="A63">
            <v>35500000</v>
          </cell>
          <cell r="C63">
            <v>3851747.0070000007</v>
          </cell>
          <cell r="G63">
            <v>3851747.0070000007</v>
          </cell>
        </row>
        <row r="64">
          <cell r="A64">
            <v>37000000</v>
          </cell>
          <cell r="D64">
            <v>2966130.077</v>
          </cell>
          <cell r="G64">
            <v>2966130.077</v>
          </cell>
        </row>
        <row r="65">
          <cell r="A65">
            <v>39000000</v>
          </cell>
          <cell r="C65">
            <v>-60168.118999999999</v>
          </cell>
          <cell r="G65">
            <v>-60168.118999999999</v>
          </cell>
        </row>
        <row r="66">
          <cell r="A66">
            <v>40100000</v>
          </cell>
          <cell r="B66">
            <v>-445212.15600000002</v>
          </cell>
          <cell r="C66">
            <v>-2800581.2619999931</v>
          </cell>
          <cell r="D66">
            <v>-11203549.111000003</v>
          </cell>
          <cell r="E66">
            <v>-180338.60300000003</v>
          </cell>
          <cell r="F66">
            <v>2158916.6140000001</v>
          </cell>
          <cell r="G66">
            <v>-12470764.517999995</v>
          </cell>
        </row>
        <row r="67">
          <cell r="A67">
            <v>40300000</v>
          </cell>
          <cell r="C67">
            <v>-474754.2569999994</v>
          </cell>
          <cell r="D67">
            <v>-205000</v>
          </cell>
          <cell r="E67">
            <v>0</v>
          </cell>
          <cell r="F67">
            <v>0</v>
          </cell>
          <cell r="G67">
            <v>-679754.2569999994</v>
          </cell>
        </row>
        <row r="68">
          <cell r="A68">
            <v>40600000</v>
          </cell>
          <cell r="C68">
            <v>-2172555.6070000008</v>
          </cell>
          <cell r="D68">
            <v>0</v>
          </cell>
          <cell r="G68">
            <v>-2172555.6070000008</v>
          </cell>
        </row>
        <row r="69">
          <cell r="A69">
            <v>40800000</v>
          </cell>
          <cell r="C69">
            <v>-4980</v>
          </cell>
          <cell r="G69">
            <v>-4980</v>
          </cell>
        </row>
        <row r="70">
          <cell r="A70">
            <v>40910000</v>
          </cell>
          <cell r="C70">
            <v>0</v>
          </cell>
          <cell r="E70">
            <v>-0.46399999991990626</v>
          </cell>
          <cell r="G70">
            <v>-0.46399999991990626</v>
          </cell>
        </row>
        <row r="71">
          <cell r="A71">
            <v>41100000</v>
          </cell>
          <cell r="B71">
            <v>377965.65499999997</v>
          </cell>
          <cell r="C71">
            <v>11118900.666999999</v>
          </cell>
          <cell r="D71">
            <v>6090316.8709999993</v>
          </cell>
          <cell r="E71">
            <v>-5370.176999999996</v>
          </cell>
          <cell r="G71">
            <v>17581813.015999995</v>
          </cell>
        </row>
        <row r="72">
          <cell r="A72">
            <v>41301000</v>
          </cell>
          <cell r="D72">
            <v>679640.43700000015</v>
          </cell>
          <cell r="G72">
            <v>679640.43700000015</v>
          </cell>
        </row>
        <row r="73">
          <cell r="A73">
            <v>41500000</v>
          </cell>
          <cell r="C73">
            <v>2080023.7269999995</v>
          </cell>
          <cell r="G73">
            <v>2080023.7269999995</v>
          </cell>
        </row>
        <row r="74">
          <cell r="A74">
            <v>41600000</v>
          </cell>
          <cell r="D74">
            <v>380611.16300000012</v>
          </cell>
          <cell r="G74">
            <v>380611.16300000012</v>
          </cell>
        </row>
        <row r="75">
          <cell r="A75">
            <v>41601000</v>
          </cell>
          <cell r="D75">
            <v>29878.600999999999</v>
          </cell>
          <cell r="G75">
            <v>29878.600999999999</v>
          </cell>
        </row>
        <row r="76">
          <cell r="A76">
            <v>42120000</v>
          </cell>
          <cell r="B76">
            <v>300</v>
          </cell>
          <cell r="C76">
            <v>18991.006999999998</v>
          </cell>
          <cell r="D76">
            <v>2250</v>
          </cell>
          <cell r="E76">
            <v>700</v>
          </cell>
          <cell r="G76">
            <v>22241.006999999998</v>
          </cell>
        </row>
        <row r="77">
          <cell r="A77">
            <v>42500000</v>
          </cell>
          <cell r="B77">
            <v>-2573.3490000000065</v>
          </cell>
          <cell r="C77">
            <v>-169680.43600000005</v>
          </cell>
          <cell r="D77">
            <v>-35753.349999999991</v>
          </cell>
          <cell r="E77">
            <v>16974.467000000001</v>
          </cell>
          <cell r="F77">
            <v>0</v>
          </cell>
          <cell r="G77">
            <v>-191032.66800000006</v>
          </cell>
        </row>
        <row r="78">
          <cell r="A78">
            <v>42710000</v>
          </cell>
          <cell r="B78">
            <v>142.51300000000001</v>
          </cell>
          <cell r="C78">
            <v>-913.5440000000001</v>
          </cell>
          <cell r="D78">
            <v>-284.60599999999999</v>
          </cell>
          <cell r="G78">
            <v>-1055.6370000000002</v>
          </cell>
        </row>
        <row r="79">
          <cell r="A79">
            <v>42820000</v>
          </cell>
          <cell r="C79">
            <v>-190404.04200000002</v>
          </cell>
          <cell r="G79">
            <v>-190404.04200000002</v>
          </cell>
        </row>
        <row r="80">
          <cell r="A80">
            <v>42860000</v>
          </cell>
          <cell r="D80">
            <v>-162457.14499999999</v>
          </cell>
          <cell r="G80">
            <v>-162457.14499999999</v>
          </cell>
        </row>
        <row r="81">
          <cell r="A81">
            <v>43200000</v>
          </cell>
          <cell r="D81">
            <v>0</v>
          </cell>
          <cell r="G81">
            <v>0</v>
          </cell>
        </row>
        <row r="82">
          <cell r="A82">
            <v>43210000</v>
          </cell>
          <cell r="B82">
            <v>-1057.5020000000004</v>
          </cell>
          <cell r="C82">
            <v>-98574.74500000001</v>
          </cell>
          <cell r="D82">
            <v>-25451.504000000008</v>
          </cell>
          <cell r="E82">
            <v>-848.94799999999941</v>
          </cell>
          <cell r="F82">
            <v>-10256.416999999987</v>
          </cell>
          <cell r="G82">
            <v>-136189.11600000001</v>
          </cell>
        </row>
        <row r="83">
          <cell r="A83">
            <v>43211000</v>
          </cell>
          <cell r="C83">
            <v>0</v>
          </cell>
          <cell r="D83">
            <v>0</v>
          </cell>
          <cell r="E83">
            <v>0</v>
          </cell>
          <cell r="G83">
            <v>0</v>
          </cell>
        </row>
        <row r="84">
          <cell r="A84">
            <v>43211500</v>
          </cell>
          <cell r="E84">
            <v>22.774999999999999</v>
          </cell>
          <cell r="G84">
            <v>22.774999999999999</v>
          </cell>
        </row>
        <row r="85">
          <cell r="A85">
            <v>43220000</v>
          </cell>
          <cell r="C85">
            <v>-2190.3039999999964</v>
          </cell>
          <cell r="D85">
            <v>-3.2999999999447027E-2</v>
          </cell>
          <cell r="G85">
            <v>-2190.3369999999959</v>
          </cell>
        </row>
        <row r="86">
          <cell r="A86">
            <v>43220100</v>
          </cell>
          <cell r="B86">
            <v>0</v>
          </cell>
          <cell r="C86">
            <v>-14483.981999999989</v>
          </cell>
          <cell r="D86">
            <v>-42590.227999999952</v>
          </cell>
          <cell r="E86">
            <v>-450.82299999999998</v>
          </cell>
          <cell r="F86">
            <v>-4325.2519999999995</v>
          </cell>
          <cell r="G86">
            <v>-61850.284999999938</v>
          </cell>
        </row>
        <row r="87">
          <cell r="A87">
            <v>43220300</v>
          </cell>
          <cell r="C87">
            <v>-331.87700000000024</v>
          </cell>
          <cell r="D87">
            <v>0</v>
          </cell>
          <cell r="G87">
            <v>-331.87700000000024</v>
          </cell>
        </row>
        <row r="88">
          <cell r="A88">
            <v>43221000</v>
          </cell>
          <cell r="B88">
            <v>0</v>
          </cell>
          <cell r="C88">
            <v>-411.11100000000079</v>
          </cell>
          <cell r="D88">
            <v>-787.65000000000146</v>
          </cell>
          <cell r="E88">
            <v>0</v>
          </cell>
          <cell r="G88">
            <v>-1198.7610000000022</v>
          </cell>
        </row>
        <row r="89">
          <cell r="A89">
            <v>43222000</v>
          </cell>
          <cell r="D89">
            <v>-1893.9130000000005</v>
          </cell>
          <cell r="G89">
            <v>-1893.9130000000005</v>
          </cell>
        </row>
        <row r="90">
          <cell r="A90">
            <v>43223000</v>
          </cell>
          <cell r="B90">
            <v>-69.805000000000064</v>
          </cell>
          <cell r="C90">
            <v>-4514.5689999999977</v>
          </cell>
          <cell r="D90">
            <v>-69848.538049999886</v>
          </cell>
          <cell r="E90">
            <v>-244.65499999999997</v>
          </cell>
          <cell r="F90">
            <v>-303.51699999999983</v>
          </cell>
          <cell r="G90">
            <v>-74981.084049999889</v>
          </cell>
        </row>
        <row r="91">
          <cell r="A91">
            <v>43310000</v>
          </cell>
          <cell r="D91">
            <v>-23152.126</v>
          </cell>
          <cell r="G91">
            <v>-23152.126</v>
          </cell>
        </row>
        <row r="92">
          <cell r="A92">
            <v>43400000</v>
          </cell>
          <cell r="B92">
            <v>7852.4539999999997</v>
          </cell>
          <cell r="C92">
            <v>427842.31400000001</v>
          </cell>
          <cell r="D92">
            <v>-289850.53100000002</v>
          </cell>
          <cell r="E92">
            <v>15499.658000000001</v>
          </cell>
          <cell r="G92">
            <v>161343.89500000002</v>
          </cell>
        </row>
        <row r="93">
          <cell r="A93">
            <v>43410000</v>
          </cell>
          <cell r="B93">
            <v>15103.25</v>
          </cell>
          <cell r="C93">
            <v>416572.75599999999</v>
          </cell>
          <cell r="D93">
            <v>445089.86700000003</v>
          </cell>
          <cell r="E93">
            <v>3025.2520000000004</v>
          </cell>
          <cell r="G93">
            <v>879791.125</v>
          </cell>
        </row>
        <row r="94">
          <cell r="A94">
            <v>43430000</v>
          </cell>
          <cell r="C94">
            <v>-1830.4179999999997</v>
          </cell>
          <cell r="D94">
            <v>35370.299000000014</v>
          </cell>
          <cell r="G94">
            <v>33539.881000000016</v>
          </cell>
        </row>
        <row r="95">
          <cell r="A95">
            <v>43600000</v>
          </cell>
          <cell r="B95">
            <v>94204.35</v>
          </cell>
          <cell r="C95">
            <v>2.0979999997243284</v>
          </cell>
          <cell r="D95">
            <v>-0.15300000002025627</v>
          </cell>
          <cell r="E95">
            <v>12441.351999999999</v>
          </cell>
          <cell r="G95">
            <v>106647.64699999971</v>
          </cell>
        </row>
        <row r="96">
          <cell r="A96">
            <v>43625000</v>
          </cell>
          <cell r="C96">
            <v>-26605.791000000005</v>
          </cell>
          <cell r="G96">
            <v>-26605.791000000005</v>
          </cell>
        </row>
        <row r="97">
          <cell r="A97">
            <v>43627000</v>
          </cell>
          <cell r="C97">
            <v>-186240.54400000011</v>
          </cell>
          <cell r="G97">
            <v>-186240.54400000011</v>
          </cell>
        </row>
        <row r="98">
          <cell r="A98">
            <v>43630700</v>
          </cell>
          <cell r="C98">
            <v>13045.921999999999</v>
          </cell>
          <cell r="D98">
            <v>68.920000000000073</v>
          </cell>
          <cell r="E98">
            <v>111.845</v>
          </cell>
          <cell r="F98">
            <v>4477.9000000000005</v>
          </cell>
          <cell r="G98">
            <v>17704.587</v>
          </cell>
        </row>
        <row r="99">
          <cell r="A99">
            <v>43631300</v>
          </cell>
          <cell r="C99">
            <v>9107.2360000000008</v>
          </cell>
          <cell r="D99">
            <v>2277.2359999999971</v>
          </cell>
          <cell r="E99">
            <v>5.2</v>
          </cell>
          <cell r="F99">
            <v>4.6020000000000003</v>
          </cell>
          <cell r="G99">
            <v>11394.273999999999</v>
          </cell>
        </row>
        <row r="100">
          <cell r="A100">
            <v>43631900</v>
          </cell>
          <cell r="B100">
            <v>1584.4920000000002</v>
          </cell>
          <cell r="C100">
            <v>2043416.8049999997</v>
          </cell>
          <cell r="D100">
            <v>643159.34599999979</v>
          </cell>
          <cell r="E100">
            <v>16214.416000000001</v>
          </cell>
          <cell r="F100">
            <v>59608.451999999997</v>
          </cell>
          <cell r="G100">
            <v>2763983.5109999999</v>
          </cell>
        </row>
        <row r="101">
          <cell r="A101">
            <v>43671000</v>
          </cell>
          <cell r="C101">
            <v>-1741542.2240000004</v>
          </cell>
          <cell r="D101">
            <v>-674181.14099999983</v>
          </cell>
          <cell r="E101">
            <v>-36863.32</v>
          </cell>
          <cell r="G101">
            <v>-2452586.6850000001</v>
          </cell>
        </row>
        <row r="102">
          <cell r="A102">
            <v>43700000</v>
          </cell>
          <cell r="B102">
            <v>0</v>
          </cell>
          <cell r="C102">
            <v>-2.3999999999999972</v>
          </cell>
          <cell r="D102">
            <v>-927</v>
          </cell>
          <cell r="E102">
            <v>-1.2</v>
          </cell>
          <cell r="G102">
            <v>-930.6</v>
          </cell>
        </row>
        <row r="103">
          <cell r="A103">
            <v>44198000</v>
          </cell>
          <cell r="B103">
            <v>-50000</v>
          </cell>
          <cell r="E103">
            <v>765000</v>
          </cell>
          <cell r="G103">
            <v>715000</v>
          </cell>
        </row>
        <row r="104">
          <cell r="A104">
            <v>44200000</v>
          </cell>
          <cell r="B104">
            <v>-110000</v>
          </cell>
          <cell r="G104">
            <v>-110000</v>
          </cell>
        </row>
        <row r="105">
          <cell r="A105">
            <v>44206000</v>
          </cell>
          <cell r="C105">
            <v>-765000</v>
          </cell>
          <cell r="G105">
            <v>-765000</v>
          </cell>
        </row>
        <row r="106">
          <cell r="A106">
            <v>45000000</v>
          </cell>
          <cell r="C106">
            <v>-1587700</v>
          </cell>
          <cell r="D106">
            <v>-24196.088</v>
          </cell>
          <cell r="F106">
            <v>1575000</v>
          </cell>
          <cell r="G106">
            <v>-36896.087999999989</v>
          </cell>
        </row>
        <row r="107">
          <cell r="A107">
            <v>45200000</v>
          </cell>
          <cell r="C107">
            <v>0</v>
          </cell>
          <cell r="D107">
            <v>3000</v>
          </cell>
          <cell r="E107">
            <v>0</v>
          </cell>
          <cell r="F107">
            <v>0</v>
          </cell>
          <cell r="G107">
            <v>3000</v>
          </cell>
        </row>
        <row r="108">
          <cell r="A108">
            <v>45310000</v>
          </cell>
          <cell r="B108">
            <v>-3725.1769999999997</v>
          </cell>
          <cell r="C108">
            <v>-216427.84700000001</v>
          </cell>
          <cell r="D108">
            <v>-63097.993999999999</v>
          </cell>
          <cell r="E108">
            <v>-3266.7729999999988</v>
          </cell>
          <cell r="G108">
            <v>-286517.79099999997</v>
          </cell>
        </row>
        <row r="109">
          <cell r="A109">
            <v>45700000</v>
          </cell>
          <cell r="C109">
            <v>5876</v>
          </cell>
          <cell r="D109">
            <v>2169.9709999999995</v>
          </cell>
          <cell r="G109">
            <v>8045.9709999999995</v>
          </cell>
        </row>
        <row r="110">
          <cell r="A110">
            <v>45710000</v>
          </cell>
          <cell r="B110">
            <v>1282.617</v>
          </cell>
          <cell r="D110">
            <v>0</v>
          </cell>
          <cell r="G110">
            <v>1282.617</v>
          </cell>
        </row>
        <row r="111">
          <cell r="A111">
            <v>45860000</v>
          </cell>
          <cell r="B111">
            <v>-1318.7449999999999</v>
          </cell>
          <cell r="C111">
            <v>-633961.54500000004</v>
          </cell>
          <cell r="D111">
            <v>-56451.131000000001</v>
          </cell>
          <cell r="E111">
            <v>606.13099999999986</v>
          </cell>
          <cell r="F111">
            <v>-58772.228999999999</v>
          </cell>
          <cell r="G111">
            <v>-749897.51900000009</v>
          </cell>
        </row>
        <row r="112">
          <cell r="A112">
            <v>45870000</v>
          </cell>
          <cell r="D112">
            <v>0</v>
          </cell>
          <cell r="G112">
            <v>0</v>
          </cell>
        </row>
        <row r="113">
          <cell r="A113">
            <v>46100000</v>
          </cell>
          <cell r="C113">
            <v>0</v>
          </cell>
          <cell r="D113">
            <v>0</v>
          </cell>
          <cell r="G113">
            <v>0</v>
          </cell>
        </row>
        <row r="114">
          <cell r="A114">
            <v>47100000</v>
          </cell>
          <cell r="C114">
            <v>201012.128</v>
          </cell>
          <cell r="D114">
            <v>7876.48</v>
          </cell>
          <cell r="G114">
            <v>208888.60800000001</v>
          </cell>
        </row>
        <row r="115">
          <cell r="A115">
            <v>49000000</v>
          </cell>
          <cell r="D115">
            <v>-7169.9709999999995</v>
          </cell>
          <cell r="G115">
            <v>-7169.9709999999995</v>
          </cell>
        </row>
        <row r="116">
          <cell r="A116">
            <v>49100000</v>
          </cell>
          <cell r="C116">
            <v>-457129.15</v>
          </cell>
          <cell r="D116">
            <v>-700995.02800000005</v>
          </cell>
          <cell r="G116">
            <v>-1158124.1780000001</v>
          </cell>
        </row>
        <row r="117">
          <cell r="A117">
            <v>49500000</v>
          </cell>
          <cell r="B117">
            <v>-22189.875</v>
          </cell>
          <cell r="G117">
            <v>-22189.875</v>
          </cell>
        </row>
        <row r="118">
          <cell r="A118">
            <v>49600000</v>
          </cell>
          <cell r="B118">
            <v>-7453.63</v>
          </cell>
          <cell r="C118">
            <v>-288613.685</v>
          </cell>
          <cell r="G118">
            <v>-296067.315</v>
          </cell>
        </row>
        <row r="119">
          <cell r="A119">
            <v>50130000</v>
          </cell>
          <cell r="C119">
            <v>-6000000</v>
          </cell>
          <cell r="G119">
            <v>-6000000</v>
          </cell>
        </row>
        <row r="120">
          <cell r="A120">
            <v>50140000</v>
          </cell>
          <cell r="C120">
            <v>-4000000</v>
          </cell>
          <cell r="G120">
            <v>-4000000</v>
          </cell>
        </row>
        <row r="121">
          <cell r="A121">
            <v>50500000</v>
          </cell>
          <cell r="C121">
            <v>-916666.66700000013</v>
          </cell>
          <cell r="G121">
            <v>-916666.66700000013</v>
          </cell>
        </row>
        <row r="122">
          <cell r="A122">
            <v>50515000</v>
          </cell>
          <cell r="C122">
            <v>-89643.377999999997</v>
          </cell>
          <cell r="E122">
            <v>5.0000000000000001E-3</v>
          </cell>
          <cell r="G122">
            <v>-89643.372999999992</v>
          </cell>
        </row>
        <row r="123">
          <cell r="A123">
            <v>50800000</v>
          </cell>
          <cell r="C123">
            <v>-24263.58</v>
          </cell>
          <cell r="G123">
            <v>-24263.58</v>
          </cell>
        </row>
        <row r="124">
          <cell r="A124">
            <v>53130000</v>
          </cell>
          <cell r="D124">
            <v>17193.876999999989</v>
          </cell>
          <cell r="G124">
            <v>17193.876999999989</v>
          </cell>
        </row>
        <row r="125">
          <cell r="A125">
            <v>53140000</v>
          </cell>
          <cell r="D125">
            <v>0</v>
          </cell>
          <cell r="G125">
            <v>0</v>
          </cell>
        </row>
        <row r="126">
          <cell r="A126">
            <v>53200000</v>
          </cell>
          <cell r="B126">
            <v>0</v>
          </cell>
          <cell r="C126">
            <v>0</v>
          </cell>
          <cell r="D126">
            <v>5989824.7240000013</v>
          </cell>
          <cell r="E126">
            <v>0</v>
          </cell>
          <cell r="G126">
            <v>5989824.7240000013</v>
          </cell>
        </row>
        <row r="127">
          <cell r="A127">
            <v>53202000</v>
          </cell>
          <cell r="C127">
            <v>435.74200000000008</v>
          </cell>
          <cell r="G127">
            <v>435.74200000000008</v>
          </cell>
        </row>
        <row r="128">
          <cell r="A128">
            <v>53204500</v>
          </cell>
          <cell r="C128">
            <v>5874.02</v>
          </cell>
          <cell r="G128">
            <v>5874.02</v>
          </cell>
        </row>
        <row r="129">
          <cell r="A129">
            <v>53205000</v>
          </cell>
          <cell r="C129">
            <v>21818.724000000002</v>
          </cell>
          <cell r="D129">
            <v>10583.553999999996</v>
          </cell>
          <cell r="G129">
            <v>32402.277999999998</v>
          </cell>
        </row>
        <row r="130">
          <cell r="A130">
            <v>53205300</v>
          </cell>
          <cell r="C130">
            <v>-1.3096723705530167E-10</v>
          </cell>
          <cell r="F130">
            <v>123204.9040000001</v>
          </cell>
          <cell r="G130">
            <v>123204.90399999997</v>
          </cell>
        </row>
        <row r="131">
          <cell r="A131">
            <v>53205600</v>
          </cell>
          <cell r="B131">
            <v>17392.660000000003</v>
          </cell>
          <cell r="C131">
            <v>-1791439.8070000042</v>
          </cell>
          <cell r="D131">
            <v>84191.631999997306</v>
          </cell>
          <cell r="E131">
            <v>62562.361000000041</v>
          </cell>
          <cell r="F131">
            <v>-161018.18200000003</v>
          </cell>
          <cell r="G131">
            <v>-1788311.3360000071</v>
          </cell>
        </row>
        <row r="132">
          <cell r="A132">
            <v>53205700</v>
          </cell>
          <cell r="B132">
            <v>701.31299999999999</v>
          </cell>
          <cell r="C132">
            <v>687712.25600000052</v>
          </cell>
          <cell r="G132">
            <v>688413.56900000048</v>
          </cell>
        </row>
        <row r="133">
          <cell r="A133">
            <v>53205800</v>
          </cell>
          <cell r="C133">
            <v>710140.76500000001</v>
          </cell>
          <cell r="G133">
            <v>710140.76500000001</v>
          </cell>
        </row>
        <row r="134">
          <cell r="A134">
            <v>53208000</v>
          </cell>
          <cell r="C134">
            <v>485.66199999999998</v>
          </cell>
          <cell r="D134">
            <v>8728.8129999999655</v>
          </cell>
          <cell r="G134">
            <v>9214.4749999999658</v>
          </cell>
        </row>
        <row r="135">
          <cell r="A135">
            <v>53230000</v>
          </cell>
          <cell r="D135">
            <v>13129.228000000114</v>
          </cell>
          <cell r="G135">
            <v>13129.228000000114</v>
          </cell>
        </row>
        <row r="136">
          <cell r="A136">
            <v>53240000</v>
          </cell>
          <cell r="D136">
            <v>23199.978999999897</v>
          </cell>
          <cell r="G136">
            <v>23199.978999999897</v>
          </cell>
        </row>
        <row r="137">
          <cell r="A137">
            <v>53260000</v>
          </cell>
          <cell r="D137">
            <v>16661.929999999895</v>
          </cell>
          <cell r="G137">
            <v>16661.929999999895</v>
          </cell>
        </row>
        <row r="138">
          <cell r="A138">
            <v>53270000</v>
          </cell>
          <cell r="D138">
            <v>45744.794999999838</v>
          </cell>
          <cell r="G138">
            <v>45744.794999999838</v>
          </cell>
        </row>
        <row r="139">
          <cell r="A139">
            <v>53280000</v>
          </cell>
          <cell r="D139">
            <v>4463.953999999997</v>
          </cell>
          <cell r="G139">
            <v>4463.953999999997</v>
          </cell>
        </row>
        <row r="140">
          <cell r="A140">
            <v>54000000</v>
          </cell>
          <cell r="C140">
            <v>0</v>
          </cell>
          <cell r="D140">
            <v>2000</v>
          </cell>
          <cell r="G140">
            <v>2000</v>
          </cell>
        </row>
        <row r="141">
          <cell r="A141">
            <v>54003000</v>
          </cell>
          <cell r="D141">
            <v>0</v>
          </cell>
          <cell r="G141">
            <v>0</v>
          </cell>
        </row>
        <row r="142">
          <cell r="A142">
            <v>54004000</v>
          </cell>
          <cell r="D142">
            <v>0</v>
          </cell>
          <cell r="G142">
            <v>0</v>
          </cell>
        </row>
        <row r="143">
          <cell r="A143">
            <v>54006000</v>
          </cell>
          <cell r="D143">
            <v>0</v>
          </cell>
          <cell r="G143">
            <v>0</v>
          </cell>
        </row>
        <row r="144">
          <cell r="A144">
            <v>54007000</v>
          </cell>
          <cell r="D144">
            <v>0</v>
          </cell>
          <cell r="G144">
            <v>0</v>
          </cell>
        </row>
        <row r="145">
          <cell r="A145">
            <v>54008000</v>
          </cell>
          <cell r="D145">
            <v>0</v>
          </cell>
          <cell r="G145">
            <v>0</v>
          </cell>
        </row>
        <row r="146">
          <cell r="A146">
            <v>54100000</v>
          </cell>
          <cell r="C146">
            <v>0</v>
          </cell>
          <cell r="D146">
            <v>128.69999999999976</v>
          </cell>
          <cell r="E146">
            <v>120</v>
          </cell>
          <cell r="F146">
            <v>0</v>
          </cell>
          <cell r="G146">
            <v>248.69999999999976</v>
          </cell>
        </row>
        <row r="147">
          <cell r="A147">
            <v>55002000</v>
          </cell>
          <cell r="D147">
            <v>794.4</v>
          </cell>
          <cell r="G147">
            <v>794.4</v>
          </cell>
        </row>
        <row r="148">
          <cell r="A148">
            <v>55003000</v>
          </cell>
          <cell r="D148">
            <v>1000</v>
          </cell>
          <cell r="G148">
            <v>1000</v>
          </cell>
        </row>
        <row r="149">
          <cell r="A149">
            <v>55004000</v>
          </cell>
          <cell r="D149">
            <v>900</v>
          </cell>
          <cell r="G149">
            <v>900</v>
          </cell>
        </row>
        <row r="150">
          <cell r="A150">
            <v>55006000</v>
          </cell>
          <cell r="D150">
            <v>800</v>
          </cell>
          <cell r="G150">
            <v>800</v>
          </cell>
        </row>
        <row r="151">
          <cell r="A151">
            <v>55007000</v>
          </cell>
          <cell r="D151">
            <v>800</v>
          </cell>
          <cell r="G151">
            <v>800</v>
          </cell>
        </row>
        <row r="152">
          <cell r="A152">
            <v>55008000</v>
          </cell>
          <cell r="D152">
            <v>800</v>
          </cell>
          <cell r="G152">
            <v>800</v>
          </cell>
        </row>
        <row r="153">
          <cell r="A153">
            <v>55010000</v>
          </cell>
          <cell r="C153">
            <v>3000</v>
          </cell>
          <cell r="D153">
            <v>500</v>
          </cell>
          <cell r="G153">
            <v>3500</v>
          </cell>
        </row>
        <row r="154">
          <cell r="A154">
            <v>55011000</v>
          </cell>
          <cell r="C154">
            <v>0</v>
          </cell>
          <cell r="G154">
            <v>0</v>
          </cell>
        </row>
        <row r="155">
          <cell r="A155">
            <v>58000000</v>
          </cell>
          <cell r="C155">
            <v>0</v>
          </cell>
          <cell r="G155">
            <v>0</v>
          </cell>
        </row>
        <row r="156">
          <cell r="A156">
            <v>58003000</v>
          </cell>
          <cell r="C156">
            <v>0</v>
          </cell>
          <cell r="D156">
            <v>0</v>
          </cell>
          <cell r="F156">
            <v>0</v>
          </cell>
          <cell r="G156">
            <v>0</v>
          </cell>
        </row>
        <row r="157">
          <cell r="A157">
            <v>58005000</v>
          </cell>
          <cell r="C157">
            <v>0</v>
          </cell>
          <cell r="D157">
            <v>0</v>
          </cell>
          <cell r="G157">
            <v>0</v>
          </cell>
        </row>
        <row r="158">
          <cell r="A158">
            <v>59000000</v>
          </cell>
          <cell r="D158">
            <v>-11728.883</v>
          </cell>
          <cell r="G158">
            <v>-11728.883</v>
          </cell>
        </row>
        <row r="159">
          <cell r="A159">
            <v>60100000</v>
          </cell>
          <cell r="D159">
            <v>0</v>
          </cell>
          <cell r="G159">
            <v>0</v>
          </cell>
        </row>
        <row r="160">
          <cell r="A160">
            <v>60110210</v>
          </cell>
          <cell r="C160">
            <v>1417338.5620000002</v>
          </cell>
          <cell r="G160">
            <v>1417338.5620000002</v>
          </cell>
        </row>
        <row r="161">
          <cell r="A161">
            <v>60110213</v>
          </cell>
          <cell r="C161">
            <v>6787.2</v>
          </cell>
          <cell r="G161">
            <v>6787.2</v>
          </cell>
        </row>
        <row r="162">
          <cell r="A162">
            <v>60110220</v>
          </cell>
          <cell r="C162">
            <v>2213402.8160000001</v>
          </cell>
          <cell r="G162">
            <v>2213402.8160000001</v>
          </cell>
        </row>
        <row r="163">
          <cell r="A163">
            <v>60110300</v>
          </cell>
          <cell r="C163">
            <v>265163.522</v>
          </cell>
          <cell r="G163">
            <v>265163.522</v>
          </cell>
        </row>
        <row r="164">
          <cell r="A164">
            <v>60110310</v>
          </cell>
          <cell r="C164">
            <v>145155.677</v>
          </cell>
          <cell r="G164">
            <v>145155.677</v>
          </cell>
        </row>
        <row r="165">
          <cell r="A165">
            <v>60110320</v>
          </cell>
          <cell r="C165">
            <v>31647.467000000001</v>
          </cell>
          <cell r="G165">
            <v>31647.467000000001</v>
          </cell>
        </row>
        <row r="166">
          <cell r="A166">
            <v>60110330</v>
          </cell>
          <cell r="C166">
            <v>43240.411</v>
          </cell>
          <cell r="G166">
            <v>43240.411</v>
          </cell>
        </row>
        <row r="167">
          <cell r="A167">
            <v>60110400</v>
          </cell>
          <cell r="C167">
            <v>1232.8810000000001</v>
          </cell>
          <cell r="G167">
            <v>1232.8810000000001</v>
          </cell>
        </row>
        <row r="168">
          <cell r="A168">
            <v>60110500</v>
          </cell>
          <cell r="C168">
            <v>17578.02</v>
          </cell>
          <cell r="G168">
            <v>17578.02</v>
          </cell>
        </row>
        <row r="169">
          <cell r="A169">
            <v>60110600</v>
          </cell>
          <cell r="C169">
            <v>38171.867999999995</v>
          </cell>
          <cell r="G169">
            <v>38171.867999999995</v>
          </cell>
        </row>
        <row r="170">
          <cell r="A170">
            <v>60110700</v>
          </cell>
          <cell r="C170">
            <v>13435.552</v>
          </cell>
          <cell r="G170">
            <v>13435.552</v>
          </cell>
        </row>
        <row r="171">
          <cell r="A171">
            <v>60110900</v>
          </cell>
          <cell r="C171">
            <v>404275.97700000001</v>
          </cell>
          <cell r="G171">
            <v>404275.97700000001</v>
          </cell>
        </row>
        <row r="172">
          <cell r="A172">
            <v>60111000</v>
          </cell>
          <cell r="C172">
            <v>18747.721000000001</v>
          </cell>
          <cell r="G172">
            <v>18747.721000000001</v>
          </cell>
        </row>
        <row r="173">
          <cell r="A173">
            <v>60120100</v>
          </cell>
          <cell r="C173">
            <v>1331078.2220000001</v>
          </cell>
          <cell r="G173">
            <v>1331078.2220000001</v>
          </cell>
        </row>
        <row r="174">
          <cell r="A174">
            <v>60120300</v>
          </cell>
          <cell r="C174">
            <v>12367857.194</v>
          </cell>
          <cell r="G174">
            <v>12367857.194</v>
          </cell>
        </row>
        <row r="175">
          <cell r="A175">
            <v>60120400</v>
          </cell>
          <cell r="C175">
            <v>4442673.307</v>
          </cell>
          <cell r="G175">
            <v>4442673.307</v>
          </cell>
        </row>
        <row r="176">
          <cell r="A176">
            <v>60120800</v>
          </cell>
          <cell r="C176">
            <v>1447596.9</v>
          </cell>
          <cell r="G176">
            <v>1447596.9</v>
          </cell>
        </row>
        <row r="177">
          <cell r="A177">
            <v>60120900</v>
          </cell>
          <cell r="C177">
            <v>126297.713</v>
          </cell>
          <cell r="G177">
            <v>126297.713</v>
          </cell>
        </row>
        <row r="178">
          <cell r="A178">
            <v>60121005</v>
          </cell>
          <cell r="C178">
            <v>62827.313000000002</v>
          </cell>
          <cell r="G178">
            <v>62827.313000000002</v>
          </cell>
        </row>
        <row r="179">
          <cell r="A179">
            <v>60121010</v>
          </cell>
          <cell r="C179">
            <v>0</v>
          </cell>
          <cell r="G179">
            <v>0</v>
          </cell>
        </row>
        <row r="180">
          <cell r="A180">
            <v>60121040</v>
          </cell>
          <cell r="C180">
            <v>84186.4</v>
          </cell>
          <cell r="G180">
            <v>84186.4</v>
          </cell>
        </row>
        <row r="181">
          <cell r="A181">
            <v>60121210</v>
          </cell>
          <cell r="C181">
            <v>145593.21400000001</v>
          </cell>
          <cell r="G181">
            <v>145593.21400000001</v>
          </cell>
        </row>
        <row r="182">
          <cell r="A182">
            <v>60121400</v>
          </cell>
          <cell r="C182">
            <v>55228.624000000003</v>
          </cell>
          <cell r="G182">
            <v>55228.624000000003</v>
          </cell>
        </row>
        <row r="183">
          <cell r="A183">
            <v>60121500</v>
          </cell>
          <cell r="C183">
            <v>154755</v>
          </cell>
          <cell r="G183">
            <v>154755</v>
          </cell>
        </row>
        <row r="184">
          <cell r="A184">
            <v>60121600</v>
          </cell>
          <cell r="C184">
            <v>1055269</v>
          </cell>
          <cell r="G184">
            <v>1055269</v>
          </cell>
        </row>
        <row r="185">
          <cell r="A185">
            <v>60121900</v>
          </cell>
          <cell r="C185">
            <v>508315</v>
          </cell>
          <cell r="G185">
            <v>508315</v>
          </cell>
        </row>
        <row r="186">
          <cell r="A186">
            <v>60122100</v>
          </cell>
          <cell r="C186">
            <v>154605</v>
          </cell>
          <cell r="G186">
            <v>154605</v>
          </cell>
        </row>
        <row r="187">
          <cell r="A187">
            <v>60122200</v>
          </cell>
          <cell r="C187">
            <v>65032.800000000003</v>
          </cell>
          <cell r="G187">
            <v>65032.800000000003</v>
          </cell>
        </row>
        <row r="188">
          <cell r="A188">
            <v>60122300</v>
          </cell>
          <cell r="C188">
            <v>0</v>
          </cell>
          <cell r="G188">
            <v>0</v>
          </cell>
        </row>
        <row r="189">
          <cell r="A189">
            <v>60122400</v>
          </cell>
          <cell r="C189">
            <v>34976.254000000001</v>
          </cell>
          <cell r="G189">
            <v>34976.254000000001</v>
          </cell>
        </row>
        <row r="190">
          <cell r="A190">
            <v>60122500</v>
          </cell>
          <cell r="C190">
            <v>0</v>
          </cell>
          <cell r="G190">
            <v>0</v>
          </cell>
        </row>
        <row r="191">
          <cell r="A191">
            <v>60122700</v>
          </cell>
          <cell r="C191">
            <v>11000</v>
          </cell>
          <cell r="G191">
            <v>11000</v>
          </cell>
        </row>
        <row r="192">
          <cell r="A192">
            <v>60160110</v>
          </cell>
          <cell r="C192">
            <v>0</v>
          </cell>
          <cell r="G192">
            <v>0</v>
          </cell>
        </row>
        <row r="193">
          <cell r="A193">
            <v>60191000</v>
          </cell>
          <cell r="C193">
            <v>1242206.3689999999</v>
          </cell>
          <cell r="D193">
            <v>0</v>
          </cell>
          <cell r="G193">
            <v>1242206.3689999999</v>
          </cell>
        </row>
        <row r="194">
          <cell r="A194">
            <v>60192000</v>
          </cell>
          <cell r="C194">
            <v>0</v>
          </cell>
          <cell r="G194">
            <v>0</v>
          </cell>
        </row>
        <row r="195">
          <cell r="A195">
            <v>60215000</v>
          </cell>
          <cell r="C195">
            <v>41575.862000000001</v>
          </cell>
          <cell r="G195">
            <v>41575.862000000001</v>
          </cell>
        </row>
        <row r="196">
          <cell r="A196">
            <v>60260000</v>
          </cell>
          <cell r="D196">
            <v>13936</v>
          </cell>
          <cell r="G196">
            <v>13936</v>
          </cell>
        </row>
        <row r="197">
          <cell r="A197">
            <v>60260100</v>
          </cell>
          <cell r="D197">
            <v>0</v>
          </cell>
          <cell r="G197">
            <v>0</v>
          </cell>
        </row>
        <row r="198">
          <cell r="A198">
            <v>60260300</v>
          </cell>
          <cell r="C198">
            <v>12321.36</v>
          </cell>
          <cell r="G198">
            <v>12321.36</v>
          </cell>
        </row>
        <row r="199">
          <cell r="A199">
            <v>60260400</v>
          </cell>
          <cell r="C199">
            <v>88437.8</v>
          </cell>
          <cell r="G199">
            <v>88437.8</v>
          </cell>
        </row>
        <row r="200">
          <cell r="A200">
            <v>60260500</v>
          </cell>
          <cell r="C200">
            <v>28119.38</v>
          </cell>
          <cell r="G200">
            <v>28119.38</v>
          </cell>
        </row>
        <row r="201">
          <cell r="A201">
            <v>60260600</v>
          </cell>
          <cell r="C201">
            <v>2160.52</v>
          </cell>
          <cell r="G201">
            <v>2160.52</v>
          </cell>
        </row>
        <row r="202">
          <cell r="A202">
            <v>60260700</v>
          </cell>
          <cell r="C202">
            <v>77648.683999999994</v>
          </cell>
          <cell r="G202">
            <v>77648.683999999994</v>
          </cell>
        </row>
        <row r="203">
          <cell r="A203">
            <v>60262000</v>
          </cell>
          <cell r="C203">
            <v>177145.356</v>
          </cell>
          <cell r="G203">
            <v>177145.356</v>
          </cell>
        </row>
        <row r="204">
          <cell r="A204">
            <v>60263000</v>
          </cell>
          <cell r="C204">
            <v>54949.375</v>
          </cell>
          <cell r="G204">
            <v>54949.375</v>
          </cell>
        </row>
        <row r="205">
          <cell r="A205">
            <v>60270000</v>
          </cell>
          <cell r="C205">
            <v>0</v>
          </cell>
          <cell r="G205">
            <v>0</v>
          </cell>
        </row>
        <row r="206">
          <cell r="A206">
            <v>60310000</v>
          </cell>
          <cell r="C206">
            <v>-3901446.6940000001</v>
          </cell>
          <cell r="G206">
            <v>-3901446.6940000001</v>
          </cell>
        </row>
        <row r="207">
          <cell r="A207">
            <v>60330000</v>
          </cell>
          <cell r="C207">
            <v>105614.5610000001</v>
          </cell>
          <cell r="G207">
            <v>105614.5610000001</v>
          </cell>
        </row>
        <row r="208">
          <cell r="A208">
            <v>60370000</v>
          </cell>
          <cell r="D208">
            <v>-322563.28399999999</v>
          </cell>
          <cell r="G208">
            <v>-322563.28399999999</v>
          </cell>
        </row>
        <row r="209">
          <cell r="A209">
            <v>60401000</v>
          </cell>
          <cell r="D209">
            <v>6660</v>
          </cell>
          <cell r="G209">
            <v>6660</v>
          </cell>
        </row>
        <row r="210">
          <cell r="A210">
            <v>60500000</v>
          </cell>
          <cell r="D210">
            <v>1435.0920000000001</v>
          </cell>
          <cell r="E210">
            <v>81664.172999999995</v>
          </cell>
          <cell r="G210">
            <v>83099.264999999999</v>
          </cell>
        </row>
        <row r="211">
          <cell r="A211">
            <v>60502000</v>
          </cell>
          <cell r="C211">
            <v>566439.49899999995</v>
          </cell>
          <cell r="F211">
            <v>0</v>
          </cell>
          <cell r="G211">
            <v>566439.49899999995</v>
          </cell>
        </row>
        <row r="212">
          <cell r="A212">
            <v>60504000</v>
          </cell>
          <cell r="C212">
            <v>0</v>
          </cell>
          <cell r="G212">
            <v>0</v>
          </cell>
        </row>
        <row r="213">
          <cell r="A213">
            <v>60611000</v>
          </cell>
          <cell r="D213">
            <v>6629.0439999999999</v>
          </cell>
          <cell r="G213">
            <v>6629.0439999999999</v>
          </cell>
        </row>
        <row r="214">
          <cell r="A214">
            <v>60612000</v>
          </cell>
          <cell r="C214">
            <v>0</v>
          </cell>
          <cell r="D214">
            <v>332.08600000000001</v>
          </cell>
          <cell r="G214">
            <v>332.08600000000001</v>
          </cell>
        </row>
        <row r="215">
          <cell r="A215">
            <v>60614000</v>
          </cell>
          <cell r="C215">
            <v>209849.49400000001</v>
          </cell>
          <cell r="D215">
            <v>226200.26800000001</v>
          </cell>
          <cell r="G215">
            <v>436049.76199999999</v>
          </cell>
        </row>
        <row r="216">
          <cell r="A216">
            <v>60620000</v>
          </cell>
          <cell r="C216">
            <v>33011.440999999999</v>
          </cell>
          <cell r="D216">
            <v>32187.690999999999</v>
          </cell>
          <cell r="F216">
            <v>65.040000000000006</v>
          </cell>
          <cell r="G216">
            <v>65264.171999999999</v>
          </cell>
        </row>
        <row r="217">
          <cell r="A217">
            <v>60660000</v>
          </cell>
          <cell r="C217">
            <v>19607.598000000002</v>
          </cell>
          <cell r="G217">
            <v>19607.598000000002</v>
          </cell>
        </row>
        <row r="218">
          <cell r="A218">
            <v>60670000</v>
          </cell>
          <cell r="C218">
            <v>14985.692999999999</v>
          </cell>
          <cell r="D218">
            <v>681.63099999999997</v>
          </cell>
          <cell r="G218">
            <v>15667.323999999999</v>
          </cell>
        </row>
        <row r="219">
          <cell r="A219">
            <v>60700000</v>
          </cell>
          <cell r="D219">
            <v>34810574.165000007</v>
          </cell>
          <cell r="G219">
            <v>34810574.165000007</v>
          </cell>
        </row>
        <row r="220">
          <cell r="A220">
            <v>60713000</v>
          </cell>
          <cell r="C220">
            <v>566938.62800000003</v>
          </cell>
          <cell r="G220">
            <v>566938.62800000003</v>
          </cell>
        </row>
        <row r="221">
          <cell r="A221">
            <v>61400000</v>
          </cell>
          <cell r="B221">
            <v>33075</v>
          </cell>
          <cell r="C221">
            <v>131630.33100000001</v>
          </cell>
          <cell r="D221">
            <v>225361.97100000002</v>
          </cell>
          <cell r="E221">
            <v>9156.6</v>
          </cell>
          <cell r="F221">
            <v>128.4</v>
          </cell>
          <cell r="G221">
            <v>399352.30200000003</v>
          </cell>
        </row>
        <row r="222">
          <cell r="A222">
            <v>61500000</v>
          </cell>
          <cell r="C222">
            <v>422581.29500000004</v>
          </cell>
          <cell r="D222">
            <v>1600.0460000000021</v>
          </cell>
          <cell r="E222">
            <v>-1E-3</v>
          </cell>
          <cell r="F222">
            <v>0</v>
          </cell>
          <cell r="G222">
            <v>424181.34</v>
          </cell>
        </row>
        <row r="223">
          <cell r="A223">
            <v>61501000</v>
          </cell>
          <cell r="C223">
            <v>176478.96299999999</v>
          </cell>
          <cell r="D223">
            <v>122808.27899999999</v>
          </cell>
          <cell r="F223">
            <v>45</v>
          </cell>
          <cell r="G223">
            <v>299332.24199999997</v>
          </cell>
        </row>
        <row r="224">
          <cell r="A224">
            <v>61600000</v>
          </cell>
          <cell r="C224">
            <v>271.52600000000001</v>
          </cell>
          <cell r="G224">
            <v>271.52600000000001</v>
          </cell>
        </row>
        <row r="225">
          <cell r="A225">
            <v>61603000</v>
          </cell>
          <cell r="C225">
            <v>19511.977999999999</v>
          </cell>
          <cell r="D225">
            <v>44177.684999999998</v>
          </cell>
          <cell r="E225">
            <v>2210.904</v>
          </cell>
          <cell r="F225">
            <v>35.223999999999997</v>
          </cell>
          <cell r="G225">
            <v>65935.790999999997</v>
          </cell>
        </row>
        <row r="226">
          <cell r="A226">
            <v>61607000</v>
          </cell>
          <cell r="C226">
            <v>13809.8</v>
          </cell>
          <cell r="G226">
            <v>13809.8</v>
          </cell>
        </row>
        <row r="227">
          <cell r="A227">
            <v>62000000</v>
          </cell>
          <cell r="C227">
            <v>0</v>
          </cell>
          <cell r="G227">
            <v>0</v>
          </cell>
        </row>
        <row r="228">
          <cell r="A228">
            <v>62100000</v>
          </cell>
          <cell r="D228">
            <v>0</v>
          </cell>
          <cell r="G228">
            <v>0</v>
          </cell>
        </row>
        <row r="229">
          <cell r="A229">
            <v>62120000</v>
          </cell>
          <cell r="C229">
            <v>63350.436000000002</v>
          </cell>
          <cell r="F229">
            <v>5475.8</v>
          </cell>
          <cell r="G229">
            <v>68826.236000000004</v>
          </cell>
        </row>
        <row r="230">
          <cell r="A230">
            <v>62200000</v>
          </cell>
          <cell r="C230">
            <v>302.5</v>
          </cell>
          <cell r="D230">
            <v>38435.588000000003</v>
          </cell>
          <cell r="G230">
            <v>38738.088000000003</v>
          </cell>
        </row>
        <row r="231">
          <cell r="A231">
            <v>62300000</v>
          </cell>
          <cell r="C231">
            <v>96093.974000000002</v>
          </cell>
          <cell r="D231">
            <v>218186.36799999999</v>
          </cell>
          <cell r="G231">
            <v>314280.342</v>
          </cell>
        </row>
        <row r="232">
          <cell r="A232">
            <v>62301000</v>
          </cell>
          <cell r="B232">
            <v>380</v>
          </cell>
          <cell r="C232">
            <v>52969.060000000005</v>
          </cell>
          <cell r="D232">
            <v>6623.96</v>
          </cell>
          <cell r="E232">
            <v>210</v>
          </cell>
          <cell r="G232">
            <v>60183.020000000004</v>
          </cell>
        </row>
        <row r="233">
          <cell r="A233">
            <v>62410000</v>
          </cell>
          <cell r="C233">
            <v>23784</v>
          </cell>
          <cell r="G233">
            <v>23784</v>
          </cell>
        </row>
        <row r="234">
          <cell r="A234">
            <v>62420000</v>
          </cell>
          <cell r="C234">
            <v>3400</v>
          </cell>
          <cell r="G234">
            <v>3400</v>
          </cell>
        </row>
        <row r="235">
          <cell r="A235">
            <v>62480000</v>
          </cell>
          <cell r="D235">
            <v>0</v>
          </cell>
          <cell r="G235">
            <v>0</v>
          </cell>
        </row>
        <row r="236">
          <cell r="A236">
            <v>62500000</v>
          </cell>
          <cell r="C236">
            <v>999.39200000000005</v>
          </cell>
          <cell r="D236">
            <v>12496.174000000001</v>
          </cell>
          <cell r="F236">
            <v>1238</v>
          </cell>
          <cell r="G236">
            <v>14733.566000000001</v>
          </cell>
        </row>
        <row r="237">
          <cell r="A237">
            <v>62510000</v>
          </cell>
          <cell r="C237">
            <v>25812.416000000001</v>
          </cell>
          <cell r="F237">
            <v>5310.5</v>
          </cell>
          <cell r="G237">
            <v>31122.916000000001</v>
          </cell>
        </row>
        <row r="238">
          <cell r="A238">
            <v>62570000</v>
          </cell>
          <cell r="C238">
            <v>35235.301000000007</v>
          </cell>
          <cell r="D238">
            <v>0</v>
          </cell>
          <cell r="F238">
            <v>219.822</v>
          </cell>
          <cell r="G238">
            <v>35455.123000000007</v>
          </cell>
        </row>
        <row r="239">
          <cell r="A239">
            <v>62580000</v>
          </cell>
          <cell r="C239">
            <v>4304.4340000000002</v>
          </cell>
          <cell r="D239">
            <v>5713.4650000000001</v>
          </cell>
          <cell r="F239">
            <v>230.5</v>
          </cell>
          <cell r="G239">
            <v>10248.399000000001</v>
          </cell>
        </row>
        <row r="240">
          <cell r="A240">
            <v>62600000</v>
          </cell>
          <cell r="C240">
            <v>27337.537</v>
          </cell>
          <cell r="D240">
            <v>25718.913999999997</v>
          </cell>
          <cell r="G240">
            <v>53056.451000000001</v>
          </cell>
        </row>
        <row r="241">
          <cell r="A241">
            <v>62780000</v>
          </cell>
          <cell r="B241">
            <v>440.10599999999999</v>
          </cell>
          <cell r="C241">
            <v>176376.63700000002</v>
          </cell>
          <cell r="D241">
            <v>61286.438999999998</v>
          </cell>
          <cell r="E241">
            <v>328.64799999999997</v>
          </cell>
          <cell r="F241">
            <v>7186.2249999999985</v>
          </cell>
          <cell r="G241">
            <v>245618.05500000002</v>
          </cell>
        </row>
        <row r="242">
          <cell r="A242">
            <v>63300000</v>
          </cell>
          <cell r="C242">
            <v>125000</v>
          </cell>
          <cell r="G242">
            <v>125000</v>
          </cell>
        </row>
        <row r="243">
          <cell r="A243">
            <v>63602000</v>
          </cell>
          <cell r="B243">
            <v>1522.5410000000002</v>
          </cell>
          <cell r="C243">
            <v>8659.9449999999997</v>
          </cell>
          <cell r="D243">
            <v>102.39500000000001</v>
          </cell>
          <cell r="E243">
            <v>294.93900000000002</v>
          </cell>
          <cell r="G243">
            <v>10579.820000000002</v>
          </cell>
        </row>
        <row r="244">
          <cell r="A244">
            <v>63610000</v>
          </cell>
          <cell r="B244">
            <v>50</v>
          </cell>
          <cell r="C244">
            <v>10562.289000000001</v>
          </cell>
          <cell r="D244">
            <v>715.69200000000001</v>
          </cell>
          <cell r="F244">
            <v>50</v>
          </cell>
          <cell r="G244">
            <v>11377.981</v>
          </cell>
        </row>
        <row r="245">
          <cell r="A245">
            <v>64000000</v>
          </cell>
          <cell r="B245">
            <v>81006.736000000004</v>
          </cell>
          <cell r="D245">
            <v>1063831.4110000001</v>
          </cell>
          <cell r="E245">
            <v>43471.957000000002</v>
          </cell>
          <cell r="G245">
            <v>1188310.1040000001</v>
          </cell>
        </row>
        <row r="246">
          <cell r="A246">
            <v>64001000</v>
          </cell>
          <cell r="C246">
            <v>3599550.9810000001</v>
          </cell>
          <cell r="D246">
            <v>0</v>
          </cell>
          <cell r="F246">
            <v>275001.842</v>
          </cell>
          <cell r="G246">
            <v>3874552.8230000003</v>
          </cell>
        </row>
        <row r="247">
          <cell r="A247">
            <v>64280000</v>
          </cell>
          <cell r="C247">
            <v>0</v>
          </cell>
          <cell r="G247">
            <v>0</v>
          </cell>
        </row>
        <row r="248">
          <cell r="A248">
            <v>64600100</v>
          </cell>
          <cell r="C248">
            <v>47426.851999999999</v>
          </cell>
          <cell r="D248">
            <v>44932.788999999997</v>
          </cell>
          <cell r="G248">
            <v>92359.641000000003</v>
          </cell>
        </row>
        <row r="249">
          <cell r="A249">
            <v>64603000</v>
          </cell>
          <cell r="D249">
            <v>101.82</v>
          </cell>
          <cell r="G249">
            <v>101.82</v>
          </cell>
        </row>
        <row r="250">
          <cell r="A250">
            <v>64701000</v>
          </cell>
          <cell r="D250">
            <v>167991.71900000001</v>
          </cell>
          <cell r="E250">
            <v>6045.1890000000003</v>
          </cell>
          <cell r="G250">
            <v>174036.90800000002</v>
          </cell>
        </row>
        <row r="251">
          <cell r="A251">
            <v>64720000</v>
          </cell>
          <cell r="B251">
            <v>4460.7719999999999</v>
          </cell>
          <cell r="C251">
            <v>344735.092</v>
          </cell>
          <cell r="E251">
            <v>2201.4409999999998</v>
          </cell>
          <cell r="G251">
            <v>351397.30499999999</v>
          </cell>
        </row>
        <row r="252">
          <cell r="A252">
            <v>65110000</v>
          </cell>
          <cell r="B252">
            <v>341.51299999999998</v>
          </cell>
          <cell r="C252">
            <v>228500.212</v>
          </cell>
          <cell r="F252">
            <v>82218.717999999993</v>
          </cell>
          <cell r="G252">
            <v>311060.44299999997</v>
          </cell>
        </row>
        <row r="253">
          <cell r="A253">
            <v>65110200</v>
          </cell>
          <cell r="C253">
            <v>347288.88900000002</v>
          </cell>
          <cell r="G253">
            <v>347288.88900000002</v>
          </cell>
        </row>
        <row r="254">
          <cell r="A254">
            <v>65110400</v>
          </cell>
          <cell r="C254">
            <v>332450.07799999998</v>
          </cell>
          <cell r="G254">
            <v>332450.07799999998</v>
          </cell>
        </row>
        <row r="255">
          <cell r="A255">
            <v>65115000</v>
          </cell>
          <cell r="C255">
            <v>12341.477000000001</v>
          </cell>
          <cell r="G255">
            <v>12341.477000000001</v>
          </cell>
        </row>
        <row r="256">
          <cell r="A256">
            <v>65150000</v>
          </cell>
          <cell r="C256">
            <v>67118.86</v>
          </cell>
          <cell r="G256">
            <v>67118.86</v>
          </cell>
        </row>
        <row r="257">
          <cell r="A257">
            <v>65160000</v>
          </cell>
          <cell r="B257">
            <v>395.81</v>
          </cell>
          <cell r="C257">
            <v>27403.280999999999</v>
          </cell>
          <cell r="D257">
            <v>327292.12100000004</v>
          </cell>
          <cell r="E257">
            <v>352.95400000000001</v>
          </cell>
          <cell r="F257">
            <v>47575</v>
          </cell>
          <cell r="G257">
            <v>403019.16600000008</v>
          </cell>
        </row>
        <row r="258">
          <cell r="A258">
            <v>65190000</v>
          </cell>
          <cell r="C258">
            <v>287856.647</v>
          </cell>
          <cell r="F258">
            <v>841.20299999999997</v>
          </cell>
          <cell r="G258">
            <v>288697.84999999998</v>
          </cell>
        </row>
        <row r="259">
          <cell r="A259">
            <v>65500000</v>
          </cell>
          <cell r="C259">
            <v>-16985.625999999989</v>
          </cell>
          <cell r="D259">
            <v>14941.548000000001</v>
          </cell>
          <cell r="G259">
            <v>-2044.0779999999886</v>
          </cell>
        </row>
        <row r="260">
          <cell r="A260">
            <v>66110000</v>
          </cell>
          <cell r="D260">
            <v>21276.623</v>
          </cell>
          <cell r="G260">
            <v>21276.623</v>
          </cell>
        </row>
        <row r="261">
          <cell r="A261">
            <v>66120000</v>
          </cell>
          <cell r="D261">
            <v>10638.338000000002</v>
          </cell>
          <cell r="G261">
            <v>10638.338000000002</v>
          </cell>
        </row>
        <row r="262">
          <cell r="A262">
            <v>66500000</v>
          </cell>
          <cell r="C262">
            <v>208.61600000000001</v>
          </cell>
          <cell r="D262">
            <v>67267.462</v>
          </cell>
          <cell r="G262">
            <v>67476.077999999994</v>
          </cell>
        </row>
        <row r="263">
          <cell r="A263">
            <v>66520000</v>
          </cell>
          <cell r="C263">
            <v>88732.091</v>
          </cell>
          <cell r="D263">
            <v>94446.16</v>
          </cell>
          <cell r="E263">
            <v>348.19400000000002</v>
          </cell>
          <cell r="G263">
            <v>183526.44499999998</v>
          </cell>
        </row>
        <row r="264">
          <cell r="A264">
            <v>66540000</v>
          </cell>
          <cell r="B264">
            <v>1.8</v>
          </cell>
          <cell r="C264">
            <v>37952.387000000002</v>
          </cell>
          <cell r="D264">
            <v>15979.22</v>
          </cell>
          <cell r="E264">
            <v>14.3</v>
          </cell>
          <cell r="F264">
            <v>36192.299999999996</v>
          </cell>
          <cell r="G264">
            <v>90140.007000000012</v>
          </cell>
        </row>
        <row r="265">
          <cell r="A265">
            <v>66550000</v>
          </cell>
          <cell r="C265">
            <v>8558.9840000000004</v>
          </cell>
          <cell r="D265">
            <v>10623.177</v>
          </cell>
          <cell r="E265">
            <v>460</v>
          </cell>
          <cell r="G265">
            <v>19642.161</v>
          </cell>
        </row>
        <row r="266">
          <cell r="A266">
            <v>66580000</v>
          </cell>
          <cell r="D266">
            <v>58.25</v>
          </cell>
          <cell r="G266">
            <v>58.25</v>
          </cell>
        </row>
        <row r="267">
          <cell r="A267">
            <v>68111000</v>
          </cell>
          <cell r="C267">
            <v>13845.519</v>
          </cell>
          <cell r="G267">
            <v>13845.519</v>
          </cell>
        </row>
        <row r="268">
          <cell r="A268">
            <v>68112000</v>
          </cell>
          <cell r="B268">
            <v>121142.318</v>
          </cell>
          <cell r="C268">
            <v>2249391.9709999999</v>
          </cell>
          <cell r="D268">
            <v>172777.60500000001</v>
          </cell>
          <cell r="E268">
            <v>41849.499000000003</v>
          </cell>
          <cell r="G268">
            <v>2585161.3929999997</v>
          </cell>
        </row>
        <row r="269">
          <cell r="A269">
            <v>68150000</v>
          </cell>
          <cell r="D269">
            <v>158409.58100000001</v>
          </cell>
          <cell r="G269">
            <v>158409.58100000001</v>
          </cell>
        </row>
        <row r="270">
          <cell r="A270">
            <v>68170000</v>
          </cell>
          <cell r="C270">
            <v>82226.194000000003</v>
          </cell>
          <cell r="D270">
            <v>28930.829000000002</v>
          </cell>
          <cell r="G270">
            <v>111157.023</v>
          </cell>
        </row>
        <row r="271">
          <cell r="A271">
            <v>68180000</v>
          </cell>
          <cell r="C271">
            <v>2203.3409999999999</v>
          </cell>
          <cell r="G271">
            <v>2203.3409999999999</v>
          </cell>
        </row>
        <row r="272">
          <cell r="A272">
            <v>69000000</v>
          </cell>
          <cell r="D272">
            <v>336337.31</v>
          </cell>
          <cell r="G272">
            <v>336337.31</v>
          </cell>
        </row>
        <row r="273">
          <cell r="A273">
            <v>70000000</v>
          </cell>
          <cell r="C273">
            <v>-31465470.735999998</v>
          </cell>
          <cell r="D273">
            <v>39258.680999999997</v>
          </cell>
          <cell r="E273">
            <v>-146300</v>
          </cell>
          <cell r="G273">
            <v>-31572512.054999996</v>
          </cell>
        </row>
        <row r="274">
          <cell r="A274">
            <v>70102000</v>
          </cell>
          <cell r="C274">
            <v>-7380617.3209999995</v>
          </cell>
          <cell r="G274">
            <v>-7380617.3209999995</v>
          </cell>
        </row>
        <row r="275">
          <cell r="A275">
            <v>70600000</v>
          </cell>
          <cell r="C275">
            <v>-506985.10800000001</v>
          </cell>
          <cell r="D275">
            <v>-5920</v>
          </cell>
          <cell r="G275">
            <v>-512905.10800000001</v>
          </cell>
        </row>
        <row r="276">
          <cell r="A276">
            <v>70600100</v>
          </cell>
          <cell r="C276">
            <v>-4860.835</v>
          </cell>
          <cell r="D276">
            <v>-11067.817999999999</v>
          </cell>
          <cell r="E276">
            <v>-2149.5079999999998</v>
          </cell>
          <cell r="G276">
            <v>-18078.161</v>
          </cell>
        </row>
        <row r="277">
          <cell r="A277">
            <v>70600500</v>
          </cell>
          <cell r="C277">
            <v>-38631.599999999999</v>
          </cell>
          <cell r="G277">
            <v>-38631.599999999999</v>
          </cell>
        </row>
        <row r="278">
          <cell r="A278">
            <v>70700000</v>
          </cell>
          <cell r="D278">
            <v>-39615407.045000002</v>
          </cell>
          <cell r="G278">
            <v>-39615407.045000002</v>
          </cell>
        </row>
        <row r="279">
          <cell r="A279">
            <v>70900000</v>
          </cell>
          <cell r="D279">
            <v>0</v>
          </cell>
          <cell r="G279">
            <v>0</v>
          </cell>
        </row>
        <row r="280">
          <cell r="A280">
            <v>71350000</v>
          </cell>
          <cell r="C280">
            <v>-1124564.645</v>
          </cell>
          <cell r="G280">
            <v>-1124564.645</v>
          </cell>
        </row>
        <row r="281">
          <cell r="A281">
            <v>73601000</v>
          </cell>
          <cell r="C281">
            <v>-24451.072</v>
          </cell>
          <cell r="D281">
            <v>-25500</v>
          </cell>
          <cell r="G281">
            <v>-49951.072</v>
          </cell>
        </row>
        <row r="282">
          <cell r="A282">
            <v>73602000</v>
          </cell>
          <cell r="B282">
            <v>-744.38199999999995</v>
          </cell>
          <cell r="C282">
            <v>-13.935</v>
          </cell>
          <cell r="D282">
            <v>-1662.5640000000021</v>
          </cell>
          <cell r="E282">
            <v>2.6779999999999999</v>
          </cell>
          <cell r="G282">
            <v>-2418.2030000000022</v>
          </cell>
        </row>
        <row r="283">
          <cell r="A283">
            <v>73900000</v>
          </cell>
          <cell r="C283">
            <v>-217701.18100000001</v>
          </cell>
          <cell r="G283">
            <v>-217701.18100000001</v>
          </cell>
        </row>
        <row r="284">
          <cell r="A284">
            <v>75400000</v>
          </cell>
          <cell r="C284">
            <v>-1684.4359999999999</v>
          </cell>
          <cell r="D284">
            <v>-651.41200000000003</v>
          </cell>
          <cell r="E284">
            <v>-67118.86</v>
          </cell>
          <cell r="G284">
            <v>-69454.707999999999</v>
          </cell>
        </row>
        <row r="285">
          <cell r="A285">
            <v>75600000</v>
          </cell>
          <cell r="C285">
            <v>-65904.247999999992</v>
          </cell>
          <cell r="G285">
            <v>-65904.247999999992</v>
          </cell>
        </row>
        <row r="286">
          <cell r="A286">
            <v>77000000</v>
          </cell>
          <cell r="C286">
            <v>0</v>
          </cell>
          <cell r="G286">
            <v>0</v>
          </cell>
        </row>
        <row r="287">
          <cell r="A287">
            <v>78000000</v>
          </cell>
          <cell r="C287">
            <v>-17914.275000000001</v>
          </cell>
          <cell r="G287">
            <v>-17914.275000000001</v>
          </cell>
        </row>
        <row r="288">
          <cell r="A288">
            <v>60110211</v>
          </cell>
          <cell r="C288">
            <v>83677.324999999997</v>
          </cell>
          <cell r="G288">
            <v>83677.324999999997</v>
          </cell>
        </row>
        <row r="289">
          <cell r="A289">
            <v>60110212</v>
          </cell>
          <cell r="C289">
            <v>9931.9079999999994</v>
          </cell>
          <cell r="G289">
            <v>9931.9079999999994</v>
          </cell>
        </row>
        <row r="290">
          <cell r="A290">
            <v>60110350</v>
          </cell>
          <cell r="C290">
            <v>8697.6080000000002</v>
          </cell>
          <cell r="G290">
            <v>8697.6080000000002</v>
          </cell>
        </row>
        <row r="291">
          <cell r="A291">
            <v>60121033</v>
          </cell>
          <cell r="C291">
            <v>12753.722</v>
          </cell>
          <cell r="G291">
            <v>12753.722</v>
          </cell>
        </row>
        <row r="292">
          <cell r="A292">
            <v>60122510</v>
          </cell>
          <cell r="C292">
            <v>27998.907999999999</v>
          </cell>
          <cell r="G292">
            <v>27998.907999999999</v>
          </cell>
        </row>
        <row r="293">
          <cell r="A293">
            <v>60122520</v>
          </cell>
          <cell r="C293">
            <v>8372.1319999999996</v>
          </cell>
          <cell r="G293">
            <v>8372.1319999999996</v>
          </cell>
        </row>
        <row r="294">
          <cell r="A294">
            <v>60171000</v>
          </cell>
          <cell r="C294">
            <v>789635.576</v>
          </cell>
          <cell r="G294">
            <v>789635.576</v>
          </cell>
        </row>
        <row r="295">
          <cell r="A295">
            <v>60172000</v>
          </cell>
          <cell r="C295">
            <v>1134964.42</v>
          </cell>
          <cell r="F295">
            <v>11983.203</v>
          </cell>
          <cell r="G295">
            <v>1146947.6229999999</v>
          </cell>
        </row>
        <row r="296">
          <cell r="A296">
            <v>60173000</v>
          </cell>
          <cell r="C296">
            <v>50076.37</v>
          </cell>
          <cell r="F296">
            <v>752.89200000000005</v>
          </cell>
          <cell r="G296">
            <v>50829.262000000002</v>
          </cell>
        </row>
        <row r="297">
          <cell r="A297">
            <v>60216000</v>
          </cell>
          <cell r="C297">
            <v>591422.37199999997</v>
          </cell>
          <cell r="G297">
            <v>591422.37199999997</v>
          </cell>
        </row>
        <row r="298">
          <cell r="A298">
            <v>60260200</v>
          </cell>
          <cell r="C298">
            <v>76114.86</v>
          </cell>
          <cell r="G298">
            <v>76114.86</v>
          </cell>
        </row>
        <row r="299">
          <cell r="A299">
            <v>60671000</v>
          </cell>
          <cell r="C299">
            <v>153835.11900000001</v>
          </cell>
          <cell r="D299">
            <v>58.548999999999999</v>
          </cell>
          <cell r="F299">
            <v>0</v>
          </cell>
          <cell r="G299">
            <v>153893.66800000001</v>
          </cell>
        </row>
        <row r="300">
          <cell r="A300">
            <v>62230000</v>
          </cell>
          <cell r="C300">
            <v>17667.282999999999</v>
          </cell>
          <cell r="G300">
            <v>17667.282999999999</v>
          </cell>
        </row>
        <row r="301">
          <cell r="A301">
            <v>62260000</v>
          </cell>
          <cell r="C301">
            <v>19508</v>
          </cell>
          <cell r="G301">
            <v>19508</v>
          </cell>
        </row>
        <row r="302">
          <cell r="A302">
            <v>62430000</v>
          </cell>
          <cell r="C302">
            <v>123674.76300000001</v>
          </cell>
          <cell r="G302">
            <v>123674.76300000001</v>
          </cell>
        </row>
        <row r="303">
          <cell r="A303">
            <v>70500000</v>
          </cell>
          <cell r="D303">
            <v>-90606.028000000006</v>
          </cell>
          <cell r="G303">
            <v>-90606.028000000006</v>
          </cell>
        </row>
        <row r="304">
          <cell r="A304">
            <v>43220250</v>
          </cell>
          <cell r="F304">
            <v>0</v>
          </cell>
          <cell r="G304">
            <v>0</v>
          </cell>
        </row>
        <row r="305">
          <cell r="A305">
            <v>62250000</v>
          </cell>
          <cell r="C305">
            <v>45445.061000000002</v>
          </cell>
          <cell r="F305">
            <v>5900</v>
          </cell>
          <cell r="G305">
            <v>51345.061000000002</v>
          </cell>
        </row>
        <row r="306">
          <cell r="A306">
            <v>32000000</v>
          </cell>
          <cell r="E306">
            <v>148000</v>
          </cell>
          <cell r="G306">
            <v>148000</v>
          </cell>
        </row>
        <row r="307">
          <cell r="A307">
            <v>29286500</v>
          </cell>
          <cell r="C307">
            <v>0</v>
          </cell>
          <cell r="G307">
            <v>0</v>
          </cell>
        </row>
        <row r="308">
          <cell r="A308">
            <v>43220050</v>
          </cell>
          <cell r="C308">
            <v>-1837.5350000000001</v>
          </cell>
          <cell r="G308">
            <v>-1837.5350000000001</v>
          </cell>
        </row>
        <row r="309">
          <cell r="A309">
            <v>43440000</v>
          </cell>
          <cell r="C309">
            <v>2034.336</v>
          </cell>
          <cell r="G309">
            <v>2034.336</v>
          </cell>
        </row>
        <row r="310">
          <cell r="A310">
            <v>44207000</v>
          </cell>
          <cell r="C310">
            <v>50000</v>
          </cell>
          <cell r="G310">
            <v>50000</v>
          </cell>
        </row>
        <row r="311">
          <cell r="A311">
            <v>44208000</v>
          </cell>
          <cell r="C311">
            <v>-121.574</v>
          </cell>
          <cell r="G311">
            <v>-121.574</v>
          </cell>
        </row>
        <row r="312">
          <cell r="A312">
            <v>50630000</v>
          </cell>
          <cell r="C312">
            <v>0</v>
          </cell>
          <cell r="G312">
            <v>0</v>
          </cell>
        </row>
        <row r="313">
          <cell r="A313">
            <v>53203000</v>
          </cell>
          <cell r="C313">
            <v>341558.32200000016</v>
          </cell>
          <cell r="D313">
            <v>189471.33499999996</v>
          </cell>
          <cell r="G313">
            <v>531029.65700000012</v>
          </cell>
        </row>
        <row r="314">
          <cell r="A314">
            <v>60111010</v>
          </cell>
          <cell r="C314">
            <v>1217.049</v>
          </cell>
          <cell r="G314">
            <v>1217.049</v>
          </cell>
        </row>
        <row r="315">
          <cell r="A315">
            <v>60121031</v>
          </cell>
          <cell r="C315">
            <v>137790.535</v>
          </cell>
          <cell r="G315">
            <v>137790.535</v>
          </cell>
        </row>
        <row r="316">
          <cell r="A316">
            <v>60121035</v>
          </cell>
          <cell r="C316">
            <v>692.16300000000001</v>
          </cell>
          <cell r="G316">
            <v>692.16300000000001</v>
          </cell>
        </row>
        <row r="317">
          <cell r="A317">
            <v>60121036</v>
          </cell>
          <cell r="C317">
            <v>608</v>
          </cell>
          <cell r="G317">
            <v>608</v>
          </cell>
        </row>
        <row r="318">
          <cell r="A318">
            <v>60122000</v>
          </cell>
          <cell r="C318">
            <v>0</v>
          </cell>
          <cell r="G318">
            <v>0</v>
          </cell>
        </row>
        <row r="319">
          <cell r="A319">
            <v>60122410</v>
          </cell>
          <cell r="C319">
            <v>6417.0240000000003</v>
          </cell>
          <cell r="G319">
            <v>6417.0240000000003</v>
          </cell>
        </row>
        <row r="320">
          <cell r="A320">
            <v>60122411</v>
          </cell>
          <cell r="C320">
            <v>24333.5</v>
          </cell>
          <cell r="G320">
            <v>24333.5</v>
          </cell>
        </row>
        <row r="321">
          <cell r="A321">
            <v>60122600</v>
          </cell>
          <cell r="C321">
            <v>275.2</v>
          </cell>
          <cell r="G321">
            <v>275.2</v>
          </cell>
        </row>
        <row r="322">
          <cell r="A322">
            <v>60650000</v>
          </cell>
          <cell r="C322">
            <v>9010</v>
          </cell>
          <cell r="G322">
            <v>9010</v>
          </cell>
        </row>
        <row r="323">
          <cell r="A323">
            <v>60672000</v>
          </cell>
          <cell r="C323">
            <v>2881</v>
          </cell>
          <cell r="G323">
            <v>2881</v>
          </cell>
        </row>
        <row r="324">
          <cell r="A324">
            <v>62210000</v>
          </cell>
          <cell r="C324">
            <v>31494.02</v>
          </cell>
          <cell r="G324">
            <v>31494.02</v>
          </cell>
        </row>
        <row r="325">
          <cell r="A325">
            <v>62220000</v>
          </cell>
          <cell r="C325">
            <v>23006.054</v>
          </cell>
          <cell r="G325">
            <v>23006.054</v>
          </cell>
        </row>
        <row r="326">
          <cell r="A326">
            <v>62240000</v>
          </cell>
          <cell r="C326">
            <v>33390.29</v>
          </cell>
          <cell r="G326">
            <v>33390.29</v>
          </cell>
        </row>
        <row r="327">
          <cell r="A327">
            <v>62270000</v>
          </cell>
          <cell r="C327">
            <v>10300.325000000001</v>
          </cell>
          <cell r="G327">
            <v>10300.325000000001</v>
          </cell>
        </row>
        <row r="328">
          <cell r="A328">
            <v>62280000</v>
          </cell>
          <cell r="C328">
            <v>13870</v>
          </cell>
          <cell r="G328">
            <v>13870</v>
          </cell>
        </row>
        <row r="329">
          <cell r="A329">
            <v>62520000</v>
          </cell>
          <cell r="C329">
            <v>25532.463</v>
          </cell>
          <cell r="G329">
            <v>25532.463</v>
          </cell>
        </row>
        <row r="330">
          <cell r="A330">
            <v>62571000</v>
          </cell>
          <cell r="C330">
            <v>20171.505000000001</v>
          </cell>
          <cell r="G330">
            <v>20171.505000000001</v>
          </cell>
        </row>
        <row r="331">
          <cell r="A331">
            <v>62572000</v>
          </cell>
          <cell r="C331">
            <v>16779.900000000001</v>
          </cell>
          <cell r="G331">
            <v>16779.900000000001</v>
          </cell>
        </row>
        <row r="332">
          <cell r="A332">
            <v>62573000</v>
          </cell>
          <cell r="C332">
            <v>5874.4</v>
          </cell>
          <cell r="G332">
            <v>5874.4</v>
          </cell>
        </row>
        <row r="333">
          <cell r="A333">
            <v>65110600</v>
          </cell>
          <cell r="C333">
            <v>2594.8609999999999</v>
          </cell>
          <cell r="G333">
            <v>2594.8609999999999</v>
          </cell>
        </row>
        <row r="334">
          <cell r="A334">
            <v>70103000</v>
          </cell>
          <cell r="C334">
            <v>-6660</v>
          </cell>
          <cell r="G334">
            <v>-6660</v>
          </cell>
        </row>
        <row r="335">
          <cell r="A335">
            <v>53120000</v>
          </cell>
          <cell r="D335">
            <v>-266.22099999999045</v>
          </cell>
          <cell r="G335">
            <v>-266.22099999999045</v>
          </cell>
        </row>
        <row r="336">
          <cell r="A336">
            <v>58006000</v>
          </cell>
          <cell r="D336">
            <v>0</v>
          </cell>
          <cell r="G336">
            <v>0</v>
          </cell>
        </row>
        <row r="337">
          <cell r="A337">
            <v>60720000</v>
          </cell>
          <cell r="D337">
            <v>0</v>
          </cell>
          <cell r="G337">
            <v>0</v>
          </cell>
        </row>
        <row r="338">
          <cell r="A338" t="str">
            <v>Total général</v>
          </cell>
          <cell r="B338">
            <v>-8.9471541286911815E-11</v>
          </cell>
          <cell r="C338">
            <v>-3.9999865357458475E-3</v>
          </cell>
          <cell r="D338">
            <v>-5.0002738134935498E-5</v>
          </cell>
          <cell r="E338">
            <v>-8.7311491370201111E-11</v>
          </cell>
          <cell r="F338">
            <v>-2.3464963305741549E-10</v>
          </cell>
          <cell r="G338">
            <v>-4.050011450999591E-3</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ew local market"/>
      <sheetName val="Local and europe market"/>
      <sheetName val="High Heat"/>
      <sheetName val=" EXPORT LYBIE&amp;AFRIQUE"/>
      <sheetName val="logique de sku code"/>
      <sheetName val="Cache borne"/>
      <sheetName val="Export  Libya"/>
    </sheetNames>
    <sheetDataSet>
      <sheetData sheetId="0">
        <row r="1">
          <cell r="C1" t="str">
            <v>NOTRE DOCUMENTATION</v>
          </cell>
        </row>
        <row r="2">
          <cell r="C2" t="str">
            <v>TB-RD-02</v>
          </cell>
        </row>
        <row r="3">
          <cell r="C3" t="str">
            <v>Tableau</v>
          </cell>
        </row>
        <row r="4">
          <cell r="C4" t="str">
            <v>Catalogue de la gamme des produits Nour</v>
          </cell>
        </row>
        <row r="6">
          <cell r="B6" t="str">
            <v>NOUR Smart (couvercle SMF)</v>
          </cell>
        </row>
        <row r="7">
          <cell r="B7" t="str">
            <v>Code NOUR / Nomenclature /</v>
          </cell>
          <cell r="C7" t="str">
            <v xml:space="preserve"> Code commercial</v>
          </cell>
          <cell r="D7" t="str">
            <v>Code international</v>
          </cell>
          <cell r="E7" t="str">
            <v>NOUVEAU Code abrégé</v>
          </cell>
        </row>
        <row r="9">
          <cell r="B9" t="str">
            <v>10S1</v>
          </cell>
          <cell r="C9" t="str">
            <v>S1SMF</v>
          </cell>
          <cell r="D9" t="str">
            <v>MF 55027</v>
          </cell>
          <cell r="E9" t="str">
            <v>LB55L1F0_1</v>
          </cell>
        </row>
        <row r="10">
          <cell r="B10" t="str">
            <v>10S2</v>
          </cell>
          <cell r="C10" t="str">
            <v>S2SMF</v>
          </cell>
          <cell r="D10" t="str">
            <v>MF 56219</v>
          </cell>
          <cell r="E10" t="str">
            <v>LB66L2F0_1</v>
          </cell>
        </row>
        <row r="11">
          <cell r="B11" t="str">
            <v>10S3</v>
          </cell>
          <cell r="C11" t="str">
            <v>S3SMF</v>
          </cell>
          <cell r="D11" t="str">
            <v>MF 57412</v>
          </cell>
          <cell r="E11" t="str">
            <v>LB77L3F0_1</v>
          </cell>
        </row>
        <row r="12">
          <cell r="B12" t="str">
            <v>10S5</v>
          </cell>
          <cell r="C12" t="str">
            <v>S5SMF</v>
          </cell>
          <cell r="D12" t="str">
            <v>MF 59538</v>
          </cell>
          <cell r="E12" t="str">
            <v>LB90L5F0_1</v>
          </cell>
        </row>
        <row r="13">
          <cell r="B13" t="str">
            <v>NOUR Premium DIN (couvercle SMF)</v>
          </cell>
        </row>
        <row r="14">
          <cell r="B14" t="str">
            <v>Code NOUR / Nomenclature /</v>
          </cell>
          <cell r="C14" t="str">
            <v xml:space="preserve"> Code commercial</v>
          </cell>
          <cell r="D14" t="str">
            <v>Code international</v>
          </cell>
          <cell r="E14" t="str">
            <v>NOUVEAU Code abrégé</v>
          </cell>
        </row>
        <row r="16">
          <cell r="B16" t="str">
            <v>10PRL1B</v>
          </cell>
          <cell r="C16" t="str">
            <v>PRL1BSMF</v>
          </cell>
          <cell r="E16" t="str">
            <v>LB45L1BF0_1</v>
          </cell>
        </row>
        <row r="17">
          <cell r="B17" t="str">
            <v>10PRL1</v>
          </cell>
          <cell r="C17" t="str">
            <v>PRL1DSMF</v>
          </cell>
          <cell r="E17" t="str">
            <v>LB45L1F0_1</v>
          </cell>
        </row>
        <row r="18">
          <cell r="B18" t="str">
            <v>*******</v>
          </cell>
          <cell r="C18" t="str">
            <v>PRL1GSMF</v>
          </cell>
          <cell r="E18" t="str">
            <v>LB45L1F0_1</v>
          </cell>
        </row>
        <row r="19">
          <cell r="B19" t="str">
            <v>10PLR2B</v>
          </cell>
          <cell r="C19" t="str">
            <v>PRL2BSMF</v>
          </cell>
          <cell r="E19" t="str">
            <v>LB55L2SB0_1</v>
          </cell>
        </row>
        <row r="20">
          <cell r="B20" t="str">
            <v>10PLR2</v>
          </cell>
          <cell r="C20" t="str">
            <v>PRL2SMF</v>
          </cell>
          <cell r="E20" t="str">
            <v>LB55L2S0_1</v>
          </cell>
        </row>
        <row r="21">
          <cell r="B21" t="str">
            <v>10PRL3B</v>
          </cell>
          <cell r="C21" t="str">
            <v>PRL3BSMF</v>
          </cell>
          <cell r="E21" t="str">
            <v>LB67L3BS0_1</v>
          </cell>
        </row>
        <row r="22">
          <cell r="B22" t="str">
            <v>10PRL3</v>
          </cell>
          <cell r="C22" t="str">
            <v>PRL3SMF</v>
          </cell>
          <cell r="E22" t="str">
            <v>LB67L3S0_1</v>
          </cell>
        </row>
        <row r="23">
          <cell r="B23" t="str">
            <v>10L5SMF</v>
          </cell>
          <cell r="C23" t="str">
            <v>PRL5SMF</v>
          </cell>
        </row>
        <row r="24">
          <cell r="B24" t="str">
            <v>NOUR Premium JIS (couvercle SMF)</v>
          </cell>
        </row>
        <row r="25">
          <cell r="B25" t="str">
            <v>Code NOUR / Nomenclature /</v>
          </cell>
          <cell r="C25" t="str">
            <v xml:space="preserve"> Code commercial</v>
          </cell>
          <cell r="D25" t="str">
            <v>Code international</v>
          </cell>
          <cell r="E25" t="str">
            <v>NOUVEAU Code abrégé</v>
          </cell>
        </row>
        <row r="27">
          <cell r="B27" t="str">
            <v>10NS40D</v>
          </cell>
          <cell r="C27" t="str">
            <v>NS40D</v>
          </cell>
          <cell r="E27" t="str">
            <v>E11545NS40RS0_1</v>
          </cell>
        </row>
        <row r="28">
          <cell r="B28" t="str">
            <v>10NS40G</v>
          </cell>
          <cell r="C28" t="str">
            <v>NS40G</v>
          </cell>
          <cell r="E28" t="str">
            <v>E11545NS40RS0_0</v>
          </cell>
        </row>
        <row r="29">
          <cell r="B29" t="str">
            <v>10NS60</v>
          </cell>
          <cell r="C29" t="str">
            <v>NS60</v>
          </cell>
          <cell r="E29" t="str">
            <v>E11556NS60RS0_1</v>
          </cell>
        </row>
        <row r="30">
          <cell r="B30" t="str">
            <v>10D23</v>
          </cell>
          <cell r="C30" t="str">
            <v>D23</v>
          </cell>
          <cell r="E30" t="str">
            <v>M55D23MF0_1</v>
          </cell>
        </row>
        <row r="31">
          <cell r="B31" t="str">
            <v>10D26</v>
          </cell>
          <cell r="C31" t="str">
            <v>D26G</v>
          </cell>
          <cell r="E31" t="str">
            <v>M56D26MF0_0</v>
          </cell>
        </row>
        <row r="32">
          <cell r="B32" t="str">
            <v>10D26D</v>
          </cell>
          <cell r="C32" t="str">
            <v>D26D</v>
          </cell>
          <cell r="E32" t="str">
            <v>M56D26MF0_1</v>
          </cell>
        </row>
        <row r="33">
          <cell r="B33" t="str">
            <v>10D31G</v>
          </cell>
          <cell r="C33" t="str">
            <v>D31G</v>
          </cell>
          <cell r="E33" t="str">
            <v>M78D31MF0_0</v>
          </cell>
        </row>
        <row r="34">
          <cell r="B34" t="str">
            <v>10D31D</v>
          </cell>
          <cell r="C34" t="str">
            <v>D31D</v>
          </cell>
          <cell r="E34" t="str">
            <v>M78D31MF0_1</v>
          </cell>
        </row>
        <row r="36">
          <cell r="B36" t="str">
            <v>NOUR Power DIN (couvercle Kamina)</v>
          </cell>
        </row>
        <row r="37">
          <cell r="B37" t="str">
            <v>Code NOUR / Nomenclature /</v>
          </cell>
          <cell r="C37" t="str">
            <v xml:space="preserve"> Code commercial</v>
          </cell>
          <cell r="D37" t="str">
            <v>Code international</v>
          </cell>
          <cell r="E37" t="str">
            <v>NOUVEAU Code abrégé</v>
          </cell>
        </row>
        <row r="39">
          <cell r="B39" t="str">
            <v>10PL1</v>
          </cell>
          <cell r="C39" t="str">
            <v>PL1</v>
          </cell>
          <cell r="D39">
            <v>54025</v>
          </cell>
          <cell r="E39" t="str">
            <v>LB44L1K0_1</v>
          </cell>
        </row>
        <row r="40">
          <cell r="B40" t="str">
            <v>10PL1B</v>
          </cell>
          <cell r="C40" t="str">
            <v>PL1B</v>
          </cell>
          <cell r="D40">
            <v>54512</v>
          </cell>
          <cell r="E40" t="str">
            <v>LB44L1BK0_1</v>
          </cell>
        </row>
        <row r="41">
          <cell r="C41" t="str">
            <v>PL1B</v>
          </cell>
        </row>
        <row r="42">
          <cell r="C42" t="str">
            <v>PL1</v>
          </cell>
        </row>
        <row r="43">
          <cell r="B43" t="str">
            <v>10PL2</v>
          </cell>
          <cell r="C43" t="str">
            <v>PL2</v>
          </cell>
          <cell r="D43">
            <v>55559</v>
          </cell>
          <cell r="E43" t="str">
            <v>LB55L2K0_1</v>
          </cell>
        </row>
        <row r="44">
          <cell r="B44" t="str">
            <v>10PL2B</v>
          </cell>
          <cell r="C44" t="str">
            <v>PL2B</v>
          </cell>
          <cell r="D44">
            <v>55519</v>
          </cell>
          <cell r="E44" t="str">
            <v>LB55L2BK0_1</v>
          </cell>
        </row>
        <row r="45">
          <cell r="C45" t="str">
            <v>PL2B</v>
          </cell>
        </row>
        <row r="46">
          <cell r="C46" t="str">
            <v>PL2</v>
          </cell>
        </row>
        <row r="47">
          <cell r="B47" t="str">
            <v>10PL3</v>
          </cell>
          <cell r="C47" t="str">
            <v>PL3</v>
          </cell>
          <cell r="D47">
            <v>56648</v>
          </cell>
          <cell r="E47" t="str">
            <v>LB66L3K0_1</v>
          </cell>
        </row>
        <row r="48">
          <cell r="B48" t="str">
            <v>10PL3B</v>
          </cell>
          <cell r="C48" t="str">
            <v>PL3B</v>
          </cell>
          <cell r="D48">
            <v>56613</v>
          </cell>
          <cell r="E48" t="str">
            <v>LB66L3BK0_1</v>
          </cell>
        </row>
        <row r="49">
          <cell r="C49" t="str">
            <v>PL3B</v>
          </cell>
        </row>
        <row r="50">
          <cell r="B50" t="str">
            <v>10PL5</v>
          </cell>
          <cell r="C50" t="str">
            <v>PL5</v>
          </cell>
          <cell r="D50">
            <v>58515</v>
          </cell>
          <cell r="E50" t="str">
            <v>LB88L5K0_1</v>
          </cell>
        </row>
        <row r="51">
          <cell r="C51" t="str">
            <v>PL5</v>
          </cell>
        </row>
        <row r="52">
          <cell r="B52" t="str">
            <v>10S6</v>
          </cell>
          <cell r="C52" t="str">
            <v>PL6 MF</v>
          </cell>
          <cell r="D52" t="str">
            <v>MF61002</v>
          </cell>
          <cell r="E52" t="str">
            <v>N / A</v>
          </cell>
        </row>
        <row r="53">
          <cell r="B53" t="str">
            <v>22h10</v>
          </cell>
          <cell r="C53" t="str">
            <v>PM10</v>
          </cell>
          <cell r="D53">
            <v>570101054</v>
          </cell>
          <cell r="E53" t="str">
            <v>M55M10FL4_1</v>
          </cell>
        </row>
        <row r="54">
          <cell r="B54" t="str">
            <v>10PRM10</v>
          </cell>
          <cell r="C54" t="str">
            <v>PM10S</v>
          </cell>
          <cell r="E54" t="str">
            <v>MSP55M10FL4_1</v>
          </cell>
        </row>
        <row r="55">
          <cell r="B55" t="str">
            <v>22h11</v>
          </cell>
          <cell r="C55" t="str">
            <v>PM11</v>
          </cell>
          <cell r="D55">
            <v>600101073</v>
          </cell>
          <cell r="E55" t="str">
            <v>M78M11FL2_1</v>
          </cell>
        </row>
        <row r="56">
          <cell r="B56" t="str">
            <v>10PRM11</v>
          </cell>
          <cell r="C56" t="str">
            <v>PM11S G</v>
          </cell>
          <cell r="E56" t="str">
            <v>M77M11FL2_1</v>
          </cell>
        </row>
        <row r="57">
          <cell r="B57" t="str">
            <v>10PRM11D</v>
          </cell>
          <cell r="C57" t="str">
            <v>PM11S D</v>
          </cell>
          <cell r="E57" t="str">
            <v>M77M11FL2_1</v>
          </cell>
        </row>
        <row r="58">
          <cell r="B58" t="str">
            <v>22h12</v>
          </cell>
          <cell r="C58" t="str">
            <v>PM12</v>
          </cell>
          <cell r="D58">
            <v>600101070</v>
          </cell>
          <cell r="E58" t="str">
            <v>M88M12FL2_1</v>
          </cell>
        </row>
        <row r="59">
          <cell r="B59" t="str">
            <v>10PRM12</v>
          </cell>
          <cell r="C59" t="str">
            <v>PM12S</v>
          </cell>
          <cell r="E59" t="str">
            <v>M77M12FL2_1</v>
          </cell>
        </row>
        <row r="60">
          <cell r="B60" t="str">
            <v>10PRM110</v>
          </cell>
          <cell r="C60" t="str">
            <v>PM110</v>
          </cell>
          <cell r="D60">
            <v>61028</v>
          </cell>
        </row>
        <row r="63">
          <cell r="B63" t="str">
            <v>NOUR MARINE (couvercle Acuma)</v>
          </cell>
        </row>
        <row r="64">
          <cell r="B64" t="str">
            <v>Code NOUR / Nomenclature /</v>
          </cell>
          <cell r="C64" t="str">
            <v xml:space="preserve"> Code commercial</v>
          </cell>
          <cell r="D64" t="str">
            <v>Code international</v>
          </cell>
          <cell r="E64" t="str">
            <v>NOUVEAU Code abrégé</v>
          </cell>
        </row>
        <row r="66">
          <cell r="B66" t="str">
            <v>MAR200</v>
          </cell>
          <cell r="C66" t="str">
            <v>MAR16</v>
          </cell>
          <cell r="D66">
            <v>70027</v>
          </cell>
          <cell r="E66" t="str">
            <v>MT1314M16FL0_1</v>
          </cell>
        </row>
        <row r="67">
          <cell r="B67" t="str">
            <v>10TR14</v>
          </cell>
          <cell r="C67" t="str">
            <v>MAR14</v>
          </cell>
          <cell r="E67" t="str">
            <v>M1112M15DL0_1</v>
          </cell>
        </row>
        <row r="68">
          <cell r="B68" t="str">
            <v>MAR11</v>
          </cell>
          <cell r="C68" t="str">
            <v>MAR11</v>
          </cell>
          <cell r="E68" t="str">
            <v>M78M11FL2_1</v>
          </cell>
        </row>
        <row r="71">
          <cell r="B71" t="str">
            <v>NOUR JUMBO (couvercle Acuma)</v>
          </cell>
        </row>
        <row r="72">
          <cell r="B72" t="str">
            <v>Code NOUR / Nomenclature /</v>
          </cell>
          <cell r="C72" t="str">
            <v xml:space="preserve"> Code commercial</v>
          </cell>
          <cell r="D72" t="str">
            <v>Code international</v>
          </cell>
          <cell r="E72" t="str">
            <v>NOUVEAU Code abrégé</v>
          </cell>
        </row>
        <row r="74">
          <cell r="B74" t="str">
            <v>10TR14</v>
          </cell>
          <cell r="C74" t="str">
            <v>M14</v>
          </cell>
          <cell r="E74" t="str">
            <v>EC78AF0_1</v>
          </cell>
        </row>
        <row r="75">
          <cell r="B75" t="str">
            <v>10TR15</v>
          </cell>
          <cell r="C75" t="str">
            <v>M15</v>
          </cell>
          <cell r="E75" t="str">
            <v>EC89BF0_1</v>
          </cell>
        </row>
        <row r="76">
          <cell r="B76" t="str">
            <v>10TR15S</v>
          </cell>
          <cell r="C76" t="str">
            <v>M15S</v>
          </cell>
          <cell r="E76" t="str">
            <v>EC01BF0_1</v>
          </cell>
        </row>
        <row r="77">
          <cell r="B77" t="str">
            <v>10TR16</v>
          </cell>
          <cell r="C77" t="str">
            <v>M16</v>
          </cell>
          <cell r="E77" t="str">
            <v>EC12BF0_1</v>
          </cell>
        </row>
        <row r="78">
          <cell r="B78" t="str">
            <v xml:space="preserve"> 10M16DB</v>
          </cell>
          <cell r="C78" t="str">
            <v>M16B</v>
          </cell>
          <cell r="E78" t="str">
            <v>EC23CF0_1</v>
          </cell>
        </row>
        <row r="80">
          <cell r="B80" t="str">
            <v>10M14MF</v>
          </cell>
          <cell r="C80" t="str">
            <v>M14SMF</v>
          </cell>
        </row>
        <row r="81">
          <cell r="B81" t="str">
            <v>10M15SMF</v>
          </cell>
          <cell r="C81" t="str">
            <v>M15SMF</v>
          </cell>
        </row>
        <row r="82">
          <cell r="B82" t="str">
            <v>10M16MF</v>
          </cell>
          <cell r="C82" t="str">
            <v>M16SMF</v>
          </cell>
        </row>
      </sheetData>
      <sheetData sheetId="1"/>
      <sheetData sheetId="2"/>
      <sheetData sheetId="3"/>
      <sheetData sheetId="4"/>
      <sheetData sheetId="5"/>
      <sheetData sheetId="6"/>
    </sheetDataSet>
  </externalBook>
</externalLink>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saveData="0" refreshedBy="Georgi Geshev" refreshedDate="44748.716169328705" createdVersion="7" refreshedVersion="8" minRefreshableVersion="3" recordCount="0" supportSubquery="1" supportAdvancedDrill="1" xr:uid="{94142F3B-0D0E-430D-9BB4-AA8473D0888B}">
  <cacheSource type="external" connectionId="1"/>
  <cacheFields count="8">
    <cacheField name="[SALES].[DATE (Year)].[DATE (Year)]" caption="DATE (Year)" numFmtId="0" hierarchy="131" level="1">
      <sharedItems count="1">
        <s v="2022"/>
      </sharedItems>
    </cacheField>
    <cacheField name="[SALES].[DATE (Month)].[DATE (Month)]" caption="DATE (Month)" numFmtId="0" hierarchy="133" level="1">
      <sharedItems count="6">
        <s v="Jul"/>
        <s v="Aug"/>
        <s v="Sep"/>
        <s v="Oct"/>
        <s v="Nov"/>
        <s v="Dec"/>
      </sharedItems>
    </cacheField>
    <cacheField name="[SALES].[CODE].[CODE]" caption="CODE" numFmtId="0" hierarchy="127" level="1">
      <sharedItems containsNonDate="0" count="8">
        <s v="10NS40D"/>
        <s v="10NS60"/>
        <s v="K134J3X102R1"/>
        <s v="K145J4XB102R1"/>
        <s v="KX45J4X102L1"/>
        <s v="KX45J4XB102R1"/>
        <s v="KX45J4XB102L1" u="1"/>
        <s v="K145J4X102L1" u="1"/>
      </sharedItems>
    </cacheField>
    <cacheField name="[Measures].[m_FG_VOLUME]" caption="m_FG_VOLUME" numFmtId="0" hierarchy="312" level="32767"/>
    <cacheField name="[SALES].[MARKET].[MARKET]" caption="MARKET" numFmtId="0" hierarchy="130" level="1">
      <sharedItems count="5">
        <s v="Domestic"/>
        <s v="Export Libya"/>
        <s v="Export MG"/>
        <s v="Export WCA"/>
        <s v="Export GCC" u="1"/>
      </sharedItems>
    </cacheField>
    <cacheField name="[SALES].[RANGE].[RANGE]" caption="RANGE" numFmtId="0" hierarchy="126" level="1">
      <sharedItems count="4">
        <s v="BATCAR"/>
        <s v="BIN SHIHON"/>
        <s v="NOUR POWER DIN (kamina  lid BG)"/>
        <s v="NOUR Premium JIS (Akumsan T lid JIS )"/>
      </sharedItems>
    </cacheField>
    <cacheField name="[Measures].[m_FG_SALES]" caption="m_FG_SALES" numFmtId="0" hierarchy="313" level="32767"/>
    <cacheField name="[Measures].[m_FG_av.PRICE]" caption="m_FG_av.PRICE" numFmtId="0" hierarchy="314" level="32767"/>
  </cacheFields>
  <cacheHierarchies count="600">
    <cacheHierarchy uniqueName="[CALENDAR].[DATE]" caption="DATE" attribute="1" time="1" defaultMemberUniqueName="[CALENDAR].[DATE].[All]" allUniqueName="[CALENDAR].[DATE].[All]" dimensionUniqueName="[CALENDAR]" displayFolder="" count="0" memberValueDatatype="7" unbalanced="0"/>
    <cacheHierarchy uniqueName="[FIXED_DA_COSTperLE].[YEAR]" caption="YEAR" attribute="1" defaultMemberUniqueName="[FIXED_DA_COSTperLE].[YEAR].[All]" allUniqueName="[FIXED_DA_COSTperLE].[YEAR].[All]" dimensionUniqueName="[FIXED_DA_COSTperLE]" displayFolder="" count="0" memberValueDatatype="130" unbalanced="0"/>
    <cacheHierarchy uniqueName="[FIXED_DA_COSTperLE].[PRODUCTION COST per LE (TND)]" caption="PRODUCTION COST per LE (TND)" attribute="1" defaultMemberUniqueName="[FIXED_DA_COSTperLE].[PRODUCTION COST per LE (TND)].[All]" allUniqueName="[FIXED_DA_COSTperLE].[PRODUCTION COST per LE (TND)].[All]" dimensionUniqueName="[FIXED_DA_COSTperLE]" displayFolder="" count="0" memberValueDatatype="5" unbalanced="0"/>
    <cacheHierarchy uniqueName="[FIXED_LABOUR_COSTperLE].[YEAR]" caption="YEAR" attribute="1" defaultMemberUniqueName="[FIXED_LABOUR_COSTperLE].[YEAR].[All]" allUniqueName="[FIXED_LABOUR_COSTperLE].[YEAR].[All]" dimensionUniqueName="[FIXED_LABOUR_COSTperLE]" displayFolder="" count="0" memberValueDatatype="130" unbalanced="0"/>
    <cacheHierarchy uniqueName="[FIXED_LABOUR_COSTperLE].[OPEX]" caption="OPEX" attribute="1" defaultMemberUniqueName="[FIXED_LABOUR_COSTperLE].[OPEX].[All]" allUniqueName="[FIXED_LABOUR_COSTperLE].[OPEX].[All]" dimensionUniqueName="[FIXED_LABOUR_COSTperLE]" displayFolder="" count="0" memberValueDatatype="5" unbalanced="0"/>
    <cacheHierarchy uniqueName="[FIXED_LABOUR_COSTperLE].[LABOUR per LE - Batteries (TND)]" caption="LABOUR per LE - Batteries (TND)" attribute="1" defaultMemberUniqueName="[FIXED_LABOUR_COSTperLE].[LABOUR per LE - Batteries (TND)].[All]" allUniqueName="[FIXED_LABOUR_COSTperLE].[LABOUR per LE - Batteries (TND)].[All]" dimensionUniqueName="[FIXED_LABOUR_COSTperLE]" displayFolder="" count="0" memberValueDatatype="5" unbalanced="0"/>
    <cacheHierarchy uniqueName="[FX].[TND to EUR]" caption="TND to EUR" attribute="1" defaultMemberUniqueName="[FX].[TND to EUR].[All]" allUniqueName="[FX].[TND to EUR].[All]" dimensionUniqueName="[FX]" displayFolder="" count="0" memberValueDatatype="5" unbalanced="0"/>
    <cacheHierarchy uniqueName="[INSTOCK_FG].[DATE]" caption="DATE" attribute="1" time="1" defaultMemberUniqueName="[INSTOCK_FG].[DATE].[All]" allUniqueName="[INSTOCK_FG].[DATE].[All]" dimensionUniqueName="[INSTOCK_FG]" displayFolder="" count="0" memberValueDatatype="7" unbalanced="0"/>
    <cacheHierarchy uniqueName="[INSTOCK_FG].[CODE]" caption="CODE" attribute="1" defaultMemberUniqueName="[INSTOCK_FG].[CODE].[All]" allUniqueName="[INSTOCK_FG].[CODE].[All]" dimensionUniqueName="[INSTOCK_FG]" displayFolder="" count="0" memberValueDatatype="130" unbalanced="0"/>
    <cacheHierarchy uniqueName="[INSTOCK_FG].[VOLUME]" caption="VOLUME" attribute="1" defaultMemberUniqueName="[INSTOCK_FG].[VOLUME].[All]" allUniqueName="[INSTOCK_FG].[VOLUME].[All]" dimensionUniqueName="[INSTOCK_FG]" displayFolder="" count="0" memberValueDatatype="5" unbalanced="0"/>
    <cacheHierarchy uniqueName="[LeadAlloy_COST_load].[DATE]" caption="DATE" attribute="1" time="1" defaultMemberUniqueName="[LeadAlloy_COST_load].[DATE].[All]" allUniqueName="[LeadAlloy_COST_load].[DATE].[All]" dimensionUniqueName="[LeadAlloy_COST_load]" displayFolder="" count="0" memberValueDatatype="7" unbalanced="0"/>
    <cacheHierarchy uniqueName="[LeadAlloy_COST_load].[Mcode]" caption="Mcode" attribute="1" defaultMemberUniqueName="[LeadAlloy_COST_load].[Mcode].[All]" allUniqueName="[LeadAlloy_COST_load].[Mcode].[All]" dimensionUniqueName="[LeadAlloy_COST_load]" displayFolder="" count="0" memberValueDatatype="130" unbalanced="0"/>
    <cacheHierarchy uniqueName="[LeadAlloy_COST_load].[Mname]" caption="Mname" attribute="1" defaultMemberUniqueName="[LeadAlloy_COST_load].[Mname].[All]" allUniqueName="[LeadAlloy_COST_load].[Mname].[All]" dimensionUniqueName="[LeadAlloy_COST_load]" displayFolder="" count="0" memberValueDatatype="130" unbalanced="0"/>
    <cacheHierarchy uniqueName="[LeadAlloy_COST_load].[DIRECT COST (EUR/KG)]" caption="DIRECT COST (EUR/KG)" attribute="1" defaultMemberUniqueName="[LeadAlloy_COST_load].[DIRECT COST (EUR/KG)].[All]" allUniqueName="[LeadAlloy_COST_load].[DIRECT COST (EUR/KG)].[All]" dimensionUniqueName="[LeadAlloy_COST_load]" displayFolder="" count="0" memberValueDatatype="5" unbalanced="0"/>
    <cacheHierarchy uniqueName="[LeadAlloy_COST_load].[INDIRECT COST before D&amp;A (EUR/KG)]" caption="INDIRECT COST before D&amp;A (EUR/KG)" attribute="1" defaultMemberUniqueName="[LeadAlloy_COST_load].[INDIRECT COST before D&amp;A (EUR/KG)].[All]" allUniqueName="[LeadAlloy_COST_load].[INDIRECT COST before D&amp;A (EUR/KG)].[All]" dimensionUniqueName="[LeadAlloy_COST_load]" displayFolder="" count="0" memberValueDatatype="5" unbalanced="0"/>
    <cacheHierarchy uniqueName="[LeadAlloy_COST_load].[COST before D&amp;A (EUR/KG)]" caption="COST before D&amp;A (EUR/KG)" attribute="1" defaultMemberUniqueName="[LeadAlloy_COST_load].[COST before D&amp;A (EUR/KG)].[All]" allUniqueName="[LeadAlloy_COST_load].[COST before D&amp;A (EUR/KG)].[All]" dimensionUniqueName="[LeadAlloy_COST_load]" displayFolder="" count="0" memberValueDatatype="5" unbalanced="0"/>
    <cacheHierarchy uniqueName="[LeadAlloy_COST_load].[D&amp;A COST (EUR/KG)]" caption="D&amp;A COST (EUR/KG)" attribute="1" defaultMemberUniqueName="[LeadAlloy_COST_load].[D&amp;A COST (EUR/KG)].[All]" allUniqueName="[LeadAlloy_COST_load].[D&amp;A COST (EUR/KG)].[All]" dimensionUniqueName="[LeadAlloy_COST_load]" displayFolder="" count="0" memberValueDatatype="5" unbalanced="0"/>
    <cacheHierarchy uniqueName="[LeadAlloy_COST_load].[PRICE (EUR/KG)]" caption="PRICE (EUR/KG)" attribute="1" defaultMemberUniqueName="[LeadAlloy_COST_load].[PRICE (EUR/KG)].[All]" allUniqueName="[LeadAlloy_COST_load].[PRICE (EUR/KG)].[All]" dimensionUniqueName="[LeadAlloy_COST_load]" displayFolder="" count="0" memberValueDatatype="5" unbalanced="0"/>
    <cacheHierarchy uniqueName="[LeadAlloy_COST_load].[c_MERGED_MODEL]" caption="c_MERGED_MODEL" attribute="1" defaultMemberUniqueName="[LeadAlloy_COST_load].[c_MERGED_MODEL].[All]" allUniqueName="[LeadAlloy_COST_load].[c_MERGED_MODEL].[All]" dimensionUniqueName="[LeadAlloy_COST_load]" displayFolder="" count="0" memberValueDatatype="130" unbalanced="0"/>
    <cacheHierarchy uniqueName="[LeadAlloy_COST_load].[DATE (Year)]" caption="DATE (Year)" attribute="1" defaultMemberUniqueName="[LeadAlloy_COST_load].[DATE (Year)].[All]" allUniqueName="[LeadAlloy_COST_load].[DATE (Year)].[All]" dimensionUniqueName="[LeadAlloy_COST_load]" displayFolder="" count="0" memberValueDatatype="130" unbalanced="0"/>
    <cacheHierarchy uniqueName="[LeadAlloy_COST_load].[DATE (Quarter)]" caption="DATE (Quarter)" attribute="1" defaultMemberUniqueName="[LeadAlloy_COST_load].[DATE (Quarter)].[All]" allUniqueName="[LeadAlloy_COST_load].[DATE (Quarter)].[All]" dimensionUniqueName="[LeadAlloy_COST_load]" displayFolder="" count="0" memberValueDatatype="130" unbalanced="0"/>
    <cacheHierarchy uniqueName="[LeadAlloy_COST_load].[DATE (Month)]" caption="DATE (Month)" attribute="1" defaultMemberUniqueName="[LeadAlloy_COST_load].[DATE (Month)].[All]" allUniqueName="[LeadAlloy_COST_load].[DATE (Month)].[All]" dimensionUniqueName="[LeadAlloy_COST_load]" displayFolder="" count="0" memberValueDatatype="130" unbalanced="0"/>
    <cacheHierarchy uniqueName="[Mapping_Plates].[CODE]" caption="CODE" attribute="1" defaultMemberUniqueName="[Mapping_Plates].[CODE].[All]" allUniqueName="[Mapping_Plates].[CODE].[All]" dimensionUniqueName="[Mapping_Plates]" displayFolder="" count="0" memberValueDatatype="130" unbalanced="0"/>
    <cacheHierarchy uniqueName="[Mapping_Plates].[GROUP]" caption="GROUP" attribute="1" defaultMemberUniqueName="[Mapping_Plates].[GROUP].[All]" allUniqueName="[Mapping_Plates].[GROUP].[All]" dimensionUniqueName="[Mapping_Plates]" displayFolder="" count="0" memberValueDatatype="130" unbalanced="0"/>
    <cacheHierarchy uniqueName="[MG_CODE].[MG_CODE]" caption="MG_CODE" attribute="1" defaultMemberUniqueName="[MG_CODE].[MG_CODE].[All]" allUniqueName="[MG_CODE].[MG_CODE].[All]" dimensionUniqueName="[MG_CODE]" displayFolder="" count="0" memberValueDatatype="130" unbalanced="0"/>
    <cacheHierarchy uniqueName="[MODEL].[Date modified]" caption="Date modified" attribute="1" defaultMemberUniqueName="[MODEL].[Date modified].[All]" allUniqueName="[MODEL].[Date modified].[All]" dimensionUniqueName="[MODEL]" displayFolder="" count="0" memberValueDatatype="130" unbalanced="0"/>
    <cacheHierarchy uniqueName="[MODEL].[DATE]" caption="DATE" attribute="1" time="1" defaultMemberUniqueName="[MODEL].[DATE].[All]" allUniqueName="[MODEL].[DATE].[All]" dimensionUniqueName="[MODEL]" displayFolder="" count="0" memberValueDatatype="7" unbalanced="0"/>
    <cacheHierarchy uniqueName="[MODEL].[STAGE]" caption="STAGE" attribute="1" defaultMemberUniqueName="[MODEL].[STAGE].[All]" allUniqueName="[MODEL].[STAGE].[All]" dimensionUniqueName="[MODEL]" displayFolder="" count="0" memberValueDatatype="130" unbalanced="0"/>
    <cacheHierarchy uniqueName="[MODEL].[TYPE]" caption="TYPE" attribute="1" defaultMemberUniqueName="[MODEL].[TYPE].[All]" allUniqueName="[MODEL].[TYPE].[All]" dimensionUniqueName="[MODEL]" displayFolder="" count="0" memberValueDatatype="130" unbalanced="0"/>
    <cacheHierarchy uniqueName="[MODEL].[GROUP]" caption="GROUP" attribute="1" defaultMemberUniqueName="[MODEL].[GROUP].[All]" allUniqueName="[MODEL].[GROUP].[All]" dimensionUniqueName="[MODEL]" displayFolder="" count="0" memberValueDatatype="130" unbalanced="0"/>
    <cacheHierarchy uniqueName="[MODEL].[CODE]" caption="CODE" attribute="1" defaultMemberUniqueName="[MODEL].[CODE].[All]" allUniqueName="[MODEL].[CODE].[All]" dimensionUniqueName="[MODEL]" displayFolder="" count="0" memberValueDatatype="130" unbalanced="0"/>
    <cacheHierarchy uniqueName="[MODEL].[NAME]" caption="NAME" attribute="1" defaultMemberUniqueName="[MODEL].[NAME].[All]" allUniqueName="[MODEL].[NAME].[All]" dimensionUniqueName="[MODEL]" displayFolder="" count="0" memberValueDatatype="130" unbalanced="0"/>
    <cacheHierarchy uniqueName="[MODEL].[MEASURE]" caption="MEASURE" attribute="1" defaultMemberUniqueName="[MODEL].[MEASURE].[All]" allUniqueName="[MODEL].[MEASURE].[All]" dimensionUniqueName="[MODEL]" displayFolder="" count="0" memberValueDatatype="130" unbalanced="0"/>
    <cacheHierarchy uniqueName="[MODEL].[QTY]" caption="QTY" attribute="1" defaultMemberUniqueName="[MODEL].[QTY].[All]" allUniqueName="[MODEL].[QTY].[All]" dimensionUniqueName="[MODEL]" displayFolder="" count="0" memberValueDatatype="5" unbalanced="0"/>
    <cacheHierarchy uniqueName="[MODEL].[SERIE]" caption="SERIE" attribute="1" defaultMemberUniqueName="[MODEL].[SERIE].[All]" allUniqueName="[MODEL].[SERIE].[All]" dimensionUniqueName="[MODEL]" displayFolder="" count="0" memberValueDatatype="130" unbalanced="0"/>
    <cacheHierarchy uniqueName="[MODEL].[STATUS]" caption="STATUS" attribute="1" defaultMemberUniqueName="[MODEL].[STATUS].[All]" allUniqueName="[MODEL].[STATUS].[All]" dimensionUniqueName="[MODEL]" displayFolder="" count="0" memberValueDatatype="130" unbalanced="0"/>
    <cacheHierarchy uniqueName="[MODEL].[c_STAGE]" caption="c_STAGE" attribute="1" defaultMemberUniqueName="[MODEL].[c_STAGE].[All]" allUniqueName="[MODEL].[c_STAGE].[All]" dimensionUniqueName="[MODEL]" displayFolder="" count="0" memberValueDatatype="130" unbalanced="0"/>
    <cacheHierarchy uniqueName="[MODEL].[c_GROUP]" caption="c_GROUP" attribute="1" defaultMemberUniqueName="[MODEL].[c_GROUP].[All]" allUniqueName="[MODEL].[c_GROUP].[All]" dimensionUniqueName="[MODEL]" displayFolder="" count="0" memberValueDatatype="130" unbalanced="0"/>
    <cacheHierarchy uniqueName="[MODEL].[c_Mcode]" caption="c_Mcode" attribute="1" defaultMemberUniqueName="[MODEL].[c_Mcode].[All]" allUniqueName="[MODEL].[c_Mcode].[All]" dimensionUniqueName="[MODEL]" displayFolder="" count="0" memberValueDatatype="130" unbalanced="0"/>
    <cacheHierarchy uniqueName="[MODEL].[c_Mname]" caption="c_Mname" attribute="1" defaultMemberUniqueName="[MODEL].[c_Mname].[All]" allUniqueName="[MODEL].[c_Mname].[All]" dimensionUniqueName="[MODEL]" displayFolder="" count="0" memberValueDatatype="130" unbalanced="0"/>
    <cacheHierarchy uniqueName="[MODEL].[c_Mmeasure]" caption="c_Mmeasure" attribute="1" defaultMemberUniqueName="[MODEL].[c_Mmeasure].[All]" allUniqueName="[MODEL].[c_Mmeasure].[All]" dimensionUniqueName="[MODEL]" displayFolder="" count="0" memberValueDatatype="130" unbalanced="0"/>
    <cacheHierarchy uniqueName="[MODEL].[c_Mtype]" caption="c_Mtype" attribute="1" defaultMemberUniqueName="[MODEL].[c_Mtype].[All]" allUniqueName="[MODEL].[c_Mtype].[All]" dimensionUniqueName="[MODEL]" displayFolder="" count="0" memberValueDatatype="130" unbalanced="0"/>
    <cacheHierarchy uniqueName="[MODEL].[c_TYPE]" caption="c_TYPE" attribute="1" defaultMemberUniqueName="[MODEL].[c_TYPE].[All]" allUniqueName="[MODEL].[c_TYPE].[All]" dimensionUniqueName="[MODEL]" displayFolder="" count="0" memberValueDatatype="130" unbalanced="0"/>
    <cacheHierarchy uniqueName="[MODEL].[c_Mgroup]" caption="c_Mgroup" attribute="1" defaultMemberUniqueName="[MODEL].[c_Mgroup].[All]" allUniqueName="[MODEL].[c_Mgroup].[All]" dimensionUniqueName="[MODEL]" displayFolder="" count="0" memberValueDatatype="130" unbalanced="0"/>
    <cacheHierarchy uniqueName="[MODEL].[c_Mqty]" caption="c_Mqty" attribute="1" defaultMemberUniqueName="[MODEL].[c_Mqty].[All]" allUniqueName="[MODEL].[c_Mqty].[All]" dimensionUniqueName="[MODEL]" displayFolder="" count="0" memberValueDatatype="5" unbalanced="0"/>
    <cacheHierarchy uniqueName="[MODEL].[c_LE in kg]" caption="c_LE in kg" attribute="1" defaultMemberUniqueName="[MODEL].[c_LE in kg].[All]" allUniqueName="[MODEL].[c_LE in kg].[All]" dimensionUniqueName="[MODEL]" displayFolder="" count="0" memberValueDatatype="5" unbalanced="0"/>
    <cacheHierarchy uniqueName="[MODEL].[c_RM_COST (TND)]" caption="c_RM_COST (TND)" attribute="1" defaultMemberUniqueName="[MODEL].[c_RM_COST (TND)].[All]" allUniqueName="[MODEL].[c_RM_COST (TND)].[All]" dimensionUniqueName="[MODEL]" displayFolder="" count="0" memberValueDatatype="5" unbalanced="0"/>
    <cacheHierarchy uniqueName="[MODEL].[c_Mcost (EUR)]" caption="c_Mcost (EUR)" attribute="1" defaultMemberUniqueName="[MODEL].[c_Mcost (EUR)].[All]" allUniqueName="[MODEL].[c_Mcost (EUR)].[All]" dimensionUniqueName="[MODEL]" displayFolder="" count="0" memberValueDatatype="5" unbalanced="0"/>
    <cacheHierarchy uniqueName="[MODEL].[c_PLATEcode]" caption="c_PLATEcode" attribute="1" defaultMemberUniqueName="[MODEL].[c_PLATEcode].[All]" allUniqueName="[MODEL].[c_PLATEcode].[All]" dimensionUniqueName="[MODEL]" displayFolder="" count="0" memberValueDatatype="130" unbalanced="0"/>
    <cacheHierarchy uniqueName="[MODEL].[c_PLATEqty]" caption="c_PLATEqty" attribute="1" defaultMemberUniqueName="[MODEL].[c_PLATEqty].[All]" allUniqueName="[MODEL].[c_PLATEqty].[All]" dimensionUniqueName="[MODEL]" displayFolder="" count="0" memberValueDatatype="5" unbalanced="0"/>
    <cacheHierarchy uniqueName="[MODEL].[c_SALES VOLUME]" caption="c_SALES VOLUME" attribute="1" defaultMemberUniqueName="[MODEL].[c_SALES VOLUME].[All]" allUniqueName="[MODEL].[c_SALES VOLUME].[All]" dimensionUniqueName="[MODEL]" displayFolder="" count="0" memberValueDatatype="5" unbalanced="0"/>
    <cacheHierarchy uniqueName="[MODEL].[DATE (Year)]" caption="DATE (Year)" attribute="1" defaultMemberUniqueName="[MODEL].[DATE (Year)].[All]" allUniqueName="[MODEL].[DATE (Year)].[All]" dimensionUniqueName="[MODEL]" displayFolder="" count="0" memberValueDatatype="130" unbalanced="0"/>
    <cacheHierarchy uniqueName="[MODEL].[DATE (Month)]" caption="DATE (Month)" attribute="1" defaultMemberUniqueName="[MODEL].[DATE (Month)].[All]" allUniqueName="[MODEL].[DATE (Month)].[All]" dimensionUniqueName="[MODEL]" displayFolder="" count="0" memberValueDatatype="130" unbalanced="0"/>
    <cacheHierarchy uniqueName="[MODEL].[DATE (Quarter)]" caption="DATE (Quarter)" attribute="1" defaultMemberUniqueName="[MODEL].[DATE (Quarter)].[All]" allUniqueName="[MODEL].[DATE (Quarter)].[All]" dimensionUniqueName="[MODEL]" displayFolder="" count="0" memberValueDatatype="130" unbalanced="0"/>
    <cacheHierarchy uniqueName="[MODEL].[c_MERGED_LeadAlloy_COST]" caption="c_MERGED_LeadAlloy_COST" attribute="1" defaultMemberUniqueName="[MODEL].[c_MERGED_LeadAlloy_COST].[All]" allUniqueName="[MODEL].[c_MERGED_LeadAlloy_COST].[All]" dimensionUniqueName="[MODEL]" displayFolder="" count="0" memberValueDatatype="130" unbalanced="0"/>
    <cacheHierarchy uniqueName="[MODEL].[cr_LA_LEAD PRICE (EUR)]" caption="cr_LA_LEAD PRICE (EUR)" attribute="1" defaultMemberUniqueName="[MODEL].[cr_LA_LEAD PRICE (EUR)].[All]" allUniqueName="[MODEL].[cr_LA_LEAD PRICE (EUR)].[All]" dimensionUniqueName="[MODEL]" displayFolder="" count="0" memberValueDatatype="5" unbalanced="0"/>
    <cacheHierarchy uniqueName="[MODEL].[c_LA_SALES (EUR)]" caption="c_LA_SALES (EUR)" attribute="1" defaultMemberUniqueName="[MODEL].[c_LA_SALES (EUR)].[All]" allUniqueName="[MODEL].[c_LA_SALES (EUR)].[All]" dimensionUniqueName="[MODEL]" displayFolder="" count="0" memberValueDatatype="5" unbalanced="0"/>
    <cacheHierarchy uniqueName="[MODEL].[cr_LA_COST before D&amp;A (EUR)]" caption="cr_LA_COST before D&amp;A (EUR)" attribute="1" defaultMemberUniqueName="[MODEL].[cr_LA_COST before D&amp;A (EUR)].[All]" allUniqueName="[MODEL].[cr_LA_COST before D&amp;A (EUR)].[All]" dimensionUniqueName="[MODEL]" displayFolder="" count="0" memberValueDatatype="5" unbalanced="0"/>
    <cacheHierarchy uniqueName="[MODEL].[c_TWqty]" caption="c_TWqty" attribute="1" defaultMemberUniqueName="[MODEL].[c_TWqty].[All]" allUniqueName="[MODEL].[c_TWqty].[All]" dimensionUniqueName="[MODEL]" displayFolder="" count="0" memberValueDatatype="5" unbalanced="0"/>
    <cacheHierarchy uniqueName="[MODEL].[c_TW %]" caption="c_TW %" attribute="1" defaultMemberUniqueName="[MODEL].[c_TW %].[All]" allUniqueName="[MODEL].[c_TW %].[All]" dimensionUniqueName="[MODEL]" displayFolder="" count="0" memberValueDatatype="5" unbalanced="0"/>
    <cacheHierarchy uniqueName="[MODEL].[c_LE in kg TW]" caption="c_LE in kg TW" attribute="1" defaultMemberUniqueName="[MODEL].[c_LE in kg TW].[All]" allUniqueName="[MODEL].[c_LE in kg TW].[All]" dimensionUniqueName="[MODEL]" displayFolder="" count="0" memberValueDatatype="5" unbalanced="0"/>
    <cacheHierarchy uniqueName="[MODEL].[c_TWcost (EUR)]" caption="c_TWcost (EUR)" attribute="1" defaultMemberUniqueName="[MODEL].[c_TWcost (EUR)].[All]" allUniqueName="[MODEL].[c_TWcost (EUR)].[All]" dimensionUniqueName="[MODEL]" displayFolder="" count="0" memberValueDatatype="5" unbalanced="0"/>
    <cacheHierarchy uniqueName="[MODEL].[c_DIRECT COST (EUR)]" caption="c_DIRECT COST (EUR)" attribute="1" defaultMemberUniqueName="[MODEL].[c_DIRECT COST (EUR)].[All]" allUniqueName="[MODEL].[c_DIRECT COST (EUR)].[All]" dimensionUniqueName="[MODEL]" displayFolder="" count="0" memberValueDatatype="5" unbalanced="0"/>
    <cacheHierarchy uniqueName="[MODEL].[c_LE in kg (Turnover)]" caption="c_LE in kg (Turnover)" attribute="1" defaultMemberUniqueName="[MODEL].[c_LE in kg (Turnover)].[All]" allUniqueName="[MODEL].[c_LE in kg (Turnover)].[All]" dimensionUniqueName="[MODEL]" displayFolder="" count="0" memberValueDatatype="5" unbalanced="0"/>
    <cacheHierarchy uniqueName="[MODEL].[cr_IndirectCost - Labour (C) (EUR)]" caption="cr_IndirectCost - Labour (C) (EUR)" attribute="1" defaultMemberUniqueName="[MODEL].[cr_IndirectCost - Labour (C) (EUR)].[All]" allUniqueName="[MODEL].[cr_IndirectCost - Labour (C) (EUR)].[All]" dimensionUniqueName="[MODEL]" displayFolder="" count="0" memberValueDatatype="5" unbalanced="0"/>
    <cacheHierarchy uniqueName="[MODEL].[cr_IndirectCost - Electricity (EUR)]" caption="cr_IndirectCost - Electricity (EUR)" attribute="1" defaultMemberUniqueName="[MODEL].[cr_IndirectCost - Electricity (EUR)].[All]" allUniqueName="[MODEL].[cr_IndirectCost - Electricity (EUR)].[All]" dimensionUniqueName="[MODEL]" displayFolder="" count="0" memberValueDatatype="5" unbalanced="0"/>
    <cacheHierarchy uniqueName="[MODEL].[cr_IndirectCost - Gas (EUR)]" caption="cr_IndirectCost - Gas (EUR)" attribute="1" defaultMemberUniqueName="[MODEL].[cr_IndirectCost - Gas (EUR)].[All]" allUniqueName="[MODEL].[cr_IndirectCost - Gas (EUR)].[All]" dimensionUniqueName="[MODEL]" displayFolder="" count="0" memberValueDatatype="5" unbalanced="0"/>
    <cacheHierarchy uniqueName="[MODEL].[cr_IndirectCost - Water (EUR)]" caption="cr_IndirectCost - Water (EUR)" attribute="1" defaultMemberUniqueName="[MODEL].[cr_IndirectCost - Water (EUR)].[All]" allUniqueName="[MODEL].[cr_IndirectCost - Water (EUR)].[All]" dimensionUniqueName="[MODEL]" displayFolder="" count="0" memberValueDatatype="5" unbalanced="0"/>
    <cacheHierarchy uniqueName="[MODEL].[cr_IndirectCost - Quality (EUR)]" caption="cr_IndirectCost - Quality (EUR)" attribute="1" defaultMemberUniqueName="[MODEL].[cr_IndirectCost - Quality (EUR)].[All]" allUniqueName="[MODEL].[cr_IndirectCost - Quality (EUR)].[All]" dimensionUniqueName="[MODEL]" displayFolder="" count="0" memberValueDatatype="5" unbalanced="0"/>
    <cacheHierarchy uniqueName="[MODEL].[cr_IndirectCost - Maintenance (EUR)]" caption="cr_IndirectCost - Maintenance (EUR)" attribute="1" defaultMemberUniqueName="[MODEL].[cr_IndirectCost - Maintenance (EUR)].[All]" allUniqueName="[MODEL].[cr_IndirectCost - Maintenance (EUR)].[All]" dimensionUniqueName="[MODEL]" displayFolder="" count="0" memberValueDatatype="5" unbalanced="0"/>
    <cacheHierarchy uniqueName="[MODEL].[cr_IndirectCost - Logistic (EUR)]" caption="cr_IndirectCost - Logistic (EUR)" attribute="1" defaultMemberUniqueName="[MODEL].[cr_IndirectCost - Logistic (EUR)].[All]" allUniqueName="[MODEL].[cr_IndirectCost - Logistic (EUR)].[All]" dimensionUniqueName="[MODEL]" displayFolder="" count="0" memberValueDatatype="5" unbalanced="0"/>
    <cacheHierarchy uniqueName="[MODEL].[cr_IndirectCost - Other (EUR)]" caption="cr_IndirectCost - Other (EUR)" attribute="1" defaultMemberUniqueName="[MODEL].[cr_IndirectCost - Other (EUR)].[All]" allUniqueName="[MODEL].[cr_IndirectCost - Other (EUR)].[All]" dimensionUniqueName="[MODEL]" displayFolder="" count="0" memberValueDatatype="5" unbalanced="0"/>
    <cacheHierarchy uniqueName="[MODEL].[cr_IndirectCost - D&amp;A (EUR)]" caption="cr_IndirectCost - D&amp;A (EUR)" attribute="1" defaultMemberUniqueName="[MODEL].[cr_IndirectCost - D&amp;A (EUR)].[All]" allUniqueName="[MODEL].[cr_IndirectCost - D&amp;A (EUR)].[All]" dimensionUniqueName="[MODEL]" displayFolder="" count="0" memberValueDatatype="5" unbalanced="0"/>
    <cacheHierarchy uniqueName="[MODEL].[c_INDIRECT COST before D&amp;A (EUR)]" caption="c_INDIRECT COST before D&amp;A (EUR)" attribute="1" defaultMemberUniqueName="[MODEL].[c_INDIRECT COST before D&amp;A (EUR)].[All]" allUniqueName="[MODEL].[c_INDIRECT COST before D&amp;A (EUR)].[All]" dimensionUniqueName="[MODEL]" displayFolder="" count="0" memberValueDatatype="5" unbalanced="0"/>
    <cacheHierarchy uniqueName="[MODEL].[c_COST before D&amp;A (EUR)]" caption="c_COST before D&amp;A (EUR)" attribute="1" defaultMemberUniqueName="[MODEL].[c_COST before D&amp;A (EUR)].[All]" allUniqueName="[MODEL].[c_COST before D&amp;A (EUR)].[All]" dimensionUniqueName="[MODEL]" displayFolder="" count="0" memberValueDatatype="5" unbalanced="0"/>
    <cacheHierarchy uniqueName="[MODEL].[c_COST (EUR)]" caption="c_COST (EUR)" attribute="1" defaultMemberUniqueName="[MODEL].[c_COST (EUR)].[All]" allUniqueName="[MODEL].[c_COST (EUR)].[All]" dimensionUniqueName="[MODEL]" displayFolder="" count="0" memberValueDatatype="5" unbalanced="0"/>
    <cacheHierarchy uniqueName="[MODEL].[cr_IndirectCost - Labour (EUR)]" caption="cr_IndirectCost - Labour (EUR)" attribute="1" defaultMemberUniqueName="[MODEL].[cr_IndirectCost - Labour (EUR)].[All]" allUniqueName="[MODEL].[cr_IndirectCost - Labour (EUR)].[All]" dimensionUniqueName="[MODEL]" displayFolder="" count="0" memberValueDatatype="5" unbalanced="0"/>
    <cacheHierarchy uniqueName="[MODEL].[c_LA_VOLUME]" caption="c_LA_VOLUME" attribute="1" defaultMemberUniqueName="[MODEL].[c_LA_VOLUME].[All]" allUniqueName="[MODEL].[c_LA_VOLUME].[All]" dimensionUniqueName="[MODEL]" displayFolder="" count="0" memberValueDatatype="5" unbalanced="0"/>
    <cacheHierarchy uniqueName="[MODEL].[cr_LA_IndirectCost - D&amp;A (EUR)]" caption="cr_LA_IndirectCost - D&amp;A (EUR)" attribute="1" defaultMemberUniqueName="[MODEL].[cr_LA_IndirectCost - D&amp;A (EUR)].[All]" allUniqueName="[MODEL].[cr_LA_IndirectCost - D&amp;A (EUR)].[All]" dimensionUniqueName="[MODEL]" displayFolder="" count="0" memberValueDatatype="5" unbalanced="0"/>
    <cacheHierarchy uniqueName="[MODEL].[cr_LA_DIRECT COST (EUR)]" caption="cr_LA_DIRECT COST (EUR)" attribute="1" defaultMemberUniqueName="[MODEL].[cr_LA_DIRECT COST (EUR)].[All]" allUniqueName="[MODEL].[cr_LA_DIRECT COST (EUR)].[All]" dimensionUniqueName="[MODEL]" displayFolder="" count="0" memberValueDatatype="5" unbalanced="0"/>
    <cacheHierarchy uniqueName="[MODEL].[cr_LA_INDIRECT COST before D&amp;A (EUR)]" caption="cr_LA_INDIRECT COST before D&amp;A (EUR)" attribute="1" defaultMemberUniqueName="[MODEL].[cr_LA_INDIRECT COST before D&amp;A (EUR)].[All]" allUniqueName="[MODEL].[cr_LA_INDIRECT COST before D&amp;A (EUR)].[All]" dimensionUniqueName="[MODEL]" displayFolder="" count="0" memberValueDatatype="5" unbalanced="0"/>
    <cacheHierarchy uniqueName="[MODEL].[c_RM COST MGS (EUR)]" caption="c_RM COST MGS (EUR)" attribute="1" defaultMemberUniqueName="[MODEL].[c_RM COST MGS (EUR)].[All]" allUniqueName="[MODEL].[c_RM COST MGS (EUR)].[All]" dimensionUniqueName="[MODEL]" displayFolder="" count="0" memberValueDatatype="5" unbalanced="0"/>
    <cacheHierarchy uniqueName="[MODEL].[cr_RM COST MGS (EUR)]" caption="cr_RM COST MGS (EUR)" attribute="1" defaultMemberUniqueName="[MODEL].[cr_RM COST MGS (EUR)].[All]" allUniqueName="[MODEL].[cr_RM COST MGS (EUR)].[All]" dimensionUniqueName="[MODEL]" displayFolder="" count="0" memberValueDatatype="5" unbalanced="0"/>
    <cacheHierarchy uniqueName="[MODEL].[c_MERGED_COGS_AGMEFB]" caption="c_MERGED_COGS_AGMEFB" attribute="1" defaultMemberUniqueName="[MODEL].[c_MERGED_COGS_AGMEFB].[All]" allUniqueName="[MODEL].[c_MERGED_COGS_AGMEFB].[All]" dimensionUniqueName="[MODEL]" displayFolder="" count="0" memberValueDatatype="130" unbalanced="0"/>
    <cacheHierarchy uniqueName="[MODEL].[c_Weight in kg (RM)]" caption="c_Weight in kg (RM)" attribute="1" defaultMemberUniqueName="[MODEL].[c_Weight in kg (RM)].[All]" allUniqueName="[MODEL].[c_Weight in kg (RM)].[All]" dimensionUniqueName="[MODEL]" displayFolder="" count="0" memberValueDatatype="20" unbalanced="0"/>
    <cacheHierarchy uniqueName="[MODEL].[c_TWqty_BATTERY]" caption="c_TWqty_BATTERY" attribute="1" defaultMemberUniqueName="[MODEL].[c_TWqty_BATTERY].[All]" allUniqueName="[MODEL].[c_TWqty_BATTERY].[All]" dimensionUniqueName="[MODEL]" displayFolder="" count="0" memberValueDatatype="5" unbalanced="0"/>
    <cacheHierarchy uniqueName="[MODEL].[c_TWqty_UFBATTERY]" caption="c_TWqty_UFBATTERY" attribute="1" defaultMemberUniqueName="[MODEL].[c_TWqty_UFBATTERY].[All]" allUniqueName="[MODEL].[c_TWqty_UFBATTERY].[All]" dimensionUniqueName="[MODEL]" displayFolder="" count="0" memberValueDatatype="5" unbalanced="0"/>
    <cacheHierarchy uniqueName="[MODEL].[c_TWqty_PLATE]" caption="c_TWqty_PLATE" attribute="1" defaultMemberUniqueName="[MODEL].[c_TWqty_PLATE].[All]" allUniqueName="[MODEL].[c_TWqty_PLATE].[All]" dimensionUniqueName="[MODEL]" displayFolder="" count="0" memberValueDatatype="5" unbalanced="0"/>
    <cacheHierarchy uniqueName="[MODEL].[cr_TWrevenue_BATTERY]" caption="cr_TWrevenue_BATTERY" attribute="1" defaultMemberUniqueName="[MODEL].[cr_TWrevenue_BATTERY].[All]" allUniqueName="[MODEL].[cr_TWrevenue_BATTERY].[All]" dimensionUniqueName="[MODEL]" displayFolder="" count="0" memberValueDatatype="5" unbalanced="0"/>
    <cacheHierarchy uniqueName="[MODEL].[cr_TWrevenue_PLATE]" caption="cr_TWrevenue_PLATE" attribute="1" defaultMemberUniqueName="[MODEL].[cr_TWrevenue_PLATE].[All]" allUniqueName="[MODEL].[cr_TWrevenue_PLATE].[All]" dimensionUniqueName="[MODEL]" displayFolder="" count="0" memberValueDatatype="5" unbalanced="0"/>
    <cacheHierarchy uniqueName="[MODEL].[c_TWrevenue (EUR)]" caption="c_TWrevenue (EUR)" attribute="1" defaultMemberUniqueName="[MODEL].[c_TWrevenue (EUR)].[All]" allUniqueName="[MODEL].[c_TWrevenue (EUR)].[All]" dimensionUniqueName="[MODEL]" displayFolder="" count="0" memberValueDatatype="5" unbalanced="0"/>
    <cacheHierarchy uniqueName="[MODEL].[c_TWcost NET (EUR)]" caption="c_TWcost NET (EUR)" attribute="1" defaultMemberUniqueName="[MODEL].[c_TWcost NET (EUR)].[All]" allUniqueName="[MODEL].[c_TWcost NET (EUR)].[All]" dimensionUniqueName="[MODEL]" displayFolder="" count="0" memberValueDatatype="5" unbalanced="0"/>
    <cacheHierarchy uniqueName="[MODEL].[c_MG_CODE]" caption="c_MG_CODE" attribute="1" defaultMemberUniqueName="[MODEL].[c_MG_CODE].[All]" allUniqueName="[MODEL].[c_MG_CODE].[All]" dimensionUniqueName="[MODEL]" displayFolder="" count="0" memberValueDatatype="130" unbalanced="0"/>
    <cacheHierarchy uniqueName="[MODEL].[c_SUBqty_PLATE_Pasted_Req]" caption="c_SUBqty_PLATE_Pasted_Req" attribute="1" defaultMemberUniqueName="[MODEL].[c_SUBqty_PLATE_Pasted_Req].[All]" allUniqueName="[MODEL].[c_SUBqty_PLATE_Pasted_Req].[All]" dimensionUniqueName="[MODEL]" displayFolder="" count="0" memberValueDatatype="5" unbalanced="0"/>
    <cacheHierarchy uniqueName="[MODEL].[c_SUBqty_PLATE_Cutted_Req]" caption="c_SUBqty_PLATE_Cutted_Req" attribute="1" defaultMemberUniqueName="[MODEL].[c_SUBqty_PLATE_Cutted_Req].[All]" allUniqueName="[MODEL].[c_SUBqty_PLATE_Cutted_Req].[All]" dimensionUniqueName="[MODEL]" displayFolder="" count="0" memberValueDatatype="5" unbalanced="0"/>
    <cacheHierarchy uniqueName="[MODEL].[c_SUBname_PLATE_Pasted]" caption="c_SUBname_PLATE_Pasted" attribute="1" defaultMemberUniqueName="[MODEL].[c_SUBname_PLATE_Pasted].[All]" allUniqueName="[MODEL].[c_SUBname_PLATE_Pasted].[All]" dimensionUniqueName="[MODEL]" displayFolder="" count="0" memberValueDatatype="130" unbalanced="0"/>
    <cacheHierarchy uniqueName="[MODEL].[c_SUBname_PLATE_Cutted]" caption="c_SUBname_PLATE_Cutted" attribute="1" defaultMemberUniqueName="[MODEL].[c_SUBname_PLATE_Cutted].[All]" allUniqueName="[MODEL].[c_SUBname_PLATE_Cutted].[All]" dimensionUniqueName="[MODEL]" displayFolder="" count="0" memberValueDatatype="130" unbalanced="0"/>
    <cacheHierarchy uniqueName="[MODEL].[c_SUBqty_PLATE_Pasted]" caption="c_SUBqty_PLATE_Pasted" attribute="1" defaultMemberUniqueName="[MODEL].[c_SUBqty_PLATE_Pasted].[All]" allUniqueName="[MODEL].[c_SUBqty_PLATE_Pasted].[All]" dimensionUniqueName="[MODEL]" displayFolder="" count="0" memberValueDatatype="5" unbalanced="0"/>
    <cacheHierarchy uniqueName="[MODEL].[c_SUBqty_PLATE_Cutted]" caption="c_SUBqty_PLATE_Cutted" attribute="1" defaultMemberUniqueName="[MODEL].[c_SUBqty_PLATE_Cutted].[All]" allUniqueName="[MODEL].[c_SUBqty_PLATE_Cutted].[All]" dimensionUniqueName="[MODEL]" displayFolder="" count="0" memberValueDatatype="5" unbalanced="0"/>
    <cacheHierarchy uniqueName="[MODEL].[c_SD VOLUME]" caption="c_SD VOLUME" attribute="1" defaultMemberUniqueName="[MODEL].[c_SD VOLUME].[All]" allUniqueName="[MODEL].[c_SD VOLUME].[All]" dimensionUniqueName="[MODEL]" displayFolder="" count="0" memberValueDatatype="20" unbalanced="0"/>
    <cacheHierarchy uniqueName="[MODEL].[c_SUBcode_PLATE_Pasted]" caption="c_SUBcode_PLATE_Pasted" attribute="1" defaultMemberUniqueName="[MODEL].[c_SUBcode_PLATE_Pasted].[All]" allUniqueName="[MODEL].[c_SUBcode_PLATE_Pasted].[All]" dimensionUniqueName="[MODEL]" displayFolder="" count="0" memberValueDatatype="130" unbalanced="0"/>
    <cacheHierarchy uniqueName="[MODEL].[c_PLATES GROUP]" caption="c_PLATES GROUP" attribute="1" defaultMemberUniqueName="[MODEL].[c_PLATES GROUP].[All]" allUniqueName="[MODEL].[c_PLATES GROUP].[All]" dimensionUniqueName="[MODEL]" displayFolder="" count="0" memberValueDatatype="130" unbalanced="0"/>
    <cacheHierarchy uniqueName="[MODEL].[c_SUBcode_PLATE_Cutted]" caption="c_SUBcode_PLATE_Cutted" attribute="1" defaultMemberUniqueName="[MODEL].[c_SUBcode_PLATE_Cutted].[All]" allUniqueName="[MODEL].[c_SUBcode_PLATE_Cutted].[All]" dimensionUniqueName="[MODEL]" displayFolder="" count="0" memberValueDatatype="130" unbalanced="0"/>
    <cacheHierarchy uniqueName="[MODEL].[c_SUBcode_PLATES_ALL]" caption="c_SUBcode_PLATES_ALL" attribute="1" defaultMemberUniqueName="[MODEL].[c_SUBcode_PLATES_ALL].[All]" allUniqueName="[MODEL].[c_SUBcode_PLATES_ALL].[All]" dimensionUniqueName="[MODEL]" displayFolder="" count="0" memberValueDatatype="130" unbalanced="0"/>
    <cacheHierarchy uniqueName="[OPEX_Budget].[DATE]" caption="DATE" attribute="1" time="1" defaultMemberUniqueName="[OPEX_Budget].[DATE].[All]" allUniqueName="[OPEX_Budget].[DATE].[All]" dimensionUniqueName="[OPEX_Budget]" displayFolder="" count="0" memberValueDatatype="7" unbalanced="0"/>
    <cacheHierarchy uniqueName="[OPEX_Budget].[TYPE]" caption="TYPE" attribute="1" defaultMemberUniqueName="[OPEX_Budget].[TYPE].[All]" allUniqueName="[OPEX_Budget].[TYPE].[All]" dimensionUniqueName="[OPEX_Budget]" displayFolder="" count="0" memberValueDatatype="130" unbalanced="0"/>
    <cacheHierarchy uniqueName="[OPEX_Budget].[AMOUNT (TND)]" caption="AMOUNT (TND)" attribute="1" defaultMemberUniqueName="[OPEX_Budget].[AMOUNT (TND)].[All]" allUniqueName="[OPEX_Budget].[AMOUNT (TND)].[All]" dimensionUniqueName="[OPEX_Budget]" displayFolder="" count="0" memberValueDatatype="5" unbalanced="0"/>
    <cacheHierarchy uniqueName="[OPEX_Budget].[DATE (Year)]" caption="DATE (Year)" attribute="1" defaultMemberUniqueName="[OPEX_Budget].[DATE (Year)].[All]" allUniqueName="[OPEX_Budget].[DATE (Year)].[All]" dimensionUniqueName="[OPEX_Budget]" displayFolder="" count="0" memberValueDatatype="130" unbalanced="0"/>
    <cacheHierarchy uniqueName="[OPEX_Budget].[DATE (Month)]" caption="DATE (Month)" attribute="1" defaultMemberUniqueName="[OPEX_Budget].[DATE (Month)].[All]" allUniqueName="[OPEX_Budget].[DATE (Month)].[All]" dimensionUniqueName="[OPEX_Budget]" displayFolder="" count="0" memberValueDatatype="130" unbalanced="0"/>
    <cacheHierarchy uniqueName="[PRODUCTION_COST].[YEAR]" caption="YEAR" attribute="1" defaultMemberUniqueName="[PRODUCTION_COST].[YEAR].[All]" allUniqueName="[PRODUCTION_COST].[YEAR].[All]" dimensionUniqueName="[PRODUCTION_COST]" displayFolder="" count="0" memberValueDatatype="130" unbalanced="0"/>
    <cacheHierarchy uniqueName="[PRODUCTION_COST].[QUALITY]" caption="QUALITY" attribute="1" defaultMemberUniqueName="[PRODUCTION_COST].[QUALITY].[All]" allUniqueName="[PRODUCTION_COST].[QUALITY].[All]" dimensionUniqueName="[PRODUCTION_COST]" displayFolder="" count="0" memberValueDatatype="5" unbalanced="0"/>
    <cacheHierarchy uniqueName="[PRODUCTION_COST].[MAINTENANCE]" caption="MAINTENANCE" attribute="1" defaultMemberUniqueName="[PRODUCTION_COST].[MAINTENANCE].[All]" allUniqueName="[PRODUCTION_COST].[MAINTENANCE].[All]" dimensionUniqueName="[PRODUCTION_COST]" displayFolder="" count="0" memberValueDatatype="5" unbalanced="0"/>
    <cacheHierarchy uniqueName="[PRODUCTION_COST].[LOGISTIC]" caption="LOGISTIC" attribute="1" defaultMemberUniqueName="[PRODUCTION_COST].[LOGISTIC].[All]" allUniqueName="[PRODUCTION_COST].[LOGISTIC].[All]" dimensionUniqueName="[PRODUCTION_COST]" displayFolder="" count="0" memberValueDatatype="5" unbalanced="0"/>
    <cacheHierarchy uniqueName="[PRODUCTION_COST].[ELECTRICITY]" caption="ELECTRICITY" attribute="1" defaultMemberUniqueName="[PRODUCTION_COST].[ELECTRICITY].[All]" allUniqueName="[PRODUCTION_COST].[ELECTRICITY].[All]" dimensionUniqueName="[PRODUCTION_COST]" displayFolder="" count="0" memberValueDatatype="5" unbalanced="0"/>
    <cacheHierarchy uniqueName="[PRODUCTION_COST].[GAS]" caption="GAS" attribute="1" defaultMemberUniqueName="[PRODUCTION_COST].[GAS].[All]" allUniqueName="[PRODUCTION_COST].[GAS].[All]" dimensionUniqueName="[PRODUCTION_COST]" displayFolder="" count="0" memberValueDatatype="5" unbalanced="0"/>
    <cacheHierarchy uniqueName="[PRODUCTION_COST].[WATER]" caption="WATER" attribute="1" defaultMemberUniqueName="[PRODUCTION_COST].[WATER].[All]" allUniqueName="[PRODUCTION_COST].[WATER].[All]" dimensionUniqueName="[PRODUCTION_COST]" displayFolder="" count="0" memberValueDatatype="5" unbalanced="0"/>
    <cacheHierarchy uniqueName="[PRODUCTION_COST].[D&amp;A]" caption="D&amp;A" attribute="1" defaultMemberUniqueName="[PRODUCTION_COST].[D&amp;A].[All]" allUniqueName="[PRODUCTION_COST].[D&amp;A].[All]" dimensionUniqueName="[PRODUCTION_COST]" displayFolder="" count="0" memberValueDatatype="5" unbalanced="0"/>
    <cacheHierarchy uniqueName="[PRODUCTION_COST].[OTHER]" caption="OTHER" attribute="1" defaultMemberUniqueName="[PRODUCTION_COST].[OTHER].[All]" allUniqueName="[PRODUCTION_COST].[OTHER].[All]" dimensionUniqueName="[PRODUCTION_COST]" displayFolder="" count="0" memberValueDatatype="5" unbalanced="0"/>
    <cacheHierarchy uniqueName="[PRODUCTION_COST].[LABOUR]" caption="LABOUR" attribute="1" defaultMemberUniqueName="[PRODUCTION_COST].[LABOUR].[All]" allUniqueName="[PRODUCTION_COST].[LABOUR].[All]" dimensionUniqueName="[PRODUCTION_COST]" displayFolder="" count="0" memberValueDatatype="5" unbalanced="0"/>
    <cacheHierarchy uniqueName="[PRODUCTS].[CODE]" caption="CODE" attribute="1" defaultMemberUniqueName="[PRODUCTS].[CODE].[All]" allUniqueName="[PRODUCTS].[CODE].[All]" dimensionUniqueName="[PRODUCTS]" displayFolder="" count="0" memberValueDatatype="130" unbalanced="0"/>
    <cacheHierarchy uniqueName="[RAW_MATERIAL_COST].[c_Mcode]" caption="c_Mcode" attribute="1" defaultMemberUniqueName="[RAW_MATERIAL_COST].[c_Mcode].[All]" allUniqueName="[RAW_MATERIAL_COST].[c_Mcode].[All]" dimensionUniqueName="[RAW_MATERIAL_COST]" displayFolder="" count="0" memberValueDatatype="130" unbalanced="0"/>
    <cacheHierarchy uniqueName="[RAW_MATERIAL_COST].[c_RM_COST (TND)]" caption="c_RM_COST (TND)" attribute="1" defaultMemberUniqueName="[RAW_MATERIAL_COST].[c_RM_COST (TND)].[All]" allUniqueName="[RAW_MATERIAL_COST].[c_RM_COST (TND)].[All]" dimensionUniqueName="[RAW_MATERIAL_COST]" displayFolder="" count="0" memberValueDatatype="5" unbalanced="0"/>
    <cacheHierarchy uniqueName="[RAW_MATERIAL_COST].[c_MGS_RM_COST (TND)]" caption="c_MGS_RM_COST (TND)" attribute="1" defaultMemberUniqueName="[RAW_MATERIAL_COST].[c_MGS_RM_COST (TND)].[All]" allUniqueName="[RAW_MATERIAL_COST].[c_MGS_RM_COST (TND)].[All]" dimensionUniqueName="[RAW_MATERIAL_COST]" displayFolder="" count="0" memberValueDatatype="5" unbalanced="0"/>
    <cacheHierarchy uniqueName="[RAW_MATERIAL_COST].[RM_INDEXATION]" caption="RM_INDEXATION" attribute="1" defaultMemberUniqueName="[RAW_MATERIAL_COST].[RM_INDEXATION].[All]" allUniqueName="[RAW_MATERIAL_COST].[RM_INDEXATION].[All]" dimensionUniqueName="[RAW_MATERIAL_COST]" displayFolder="" count="0" memberValueDatatype="5" unbalanced="0"/>
    <cacheHierarchy uniqueName="[SALES].[STATUS]" caption="STATUS" attribute="1" defaultMemberUniqueName="[SALES].[STATUS].[All]" allUniqueName="[SALES].[STATUS].[All]" dimensionUniqueName="[SALES]" displayFolder="" count="0" memberValueDatatype="130" unbalanced="0"/>
    <cacheHierarchy uniqueName="[SALES].[DATE]" caption="DATE" attribute="1" time="1" defaultMemberUniqueName="[SALES].[DATE].[All]" allUniqueName="[SALES].[DATE].[All]" dimensionUniqueName="[SALES]" displayFolder="" count="0" memberValueDatatype="7" unbalanced="0"/>
    <cacheHierarchy uniqueName="[SALES].[RANGE]" caption="RANGE" attribute="1" defaultMemberUniqueName="[SALES].[RANGE].[All]" allUniqueName="[SALES].[RANGE].[All]" dimensionUniqueName="[SALES]" displayFolder="" count="2" memberValueDatatype="130" unbalanced="0">
      <fieldsUsage count="2">
        <fieldUsage x="-1"/>
        <fieldUsage x="5"/>
      </fieldsUsage>
    </cacheHierarchy>
    <cacheHierarchy uniqueName="[SALES].[CODE]" caption="CODE" attribute="1" defaultMemberUniqueName="[SALES].[CODE].[All]" allUniqueName="[SALES].[CODE].[All]" dimensionUniqueName="[SALES]" displayFolder="" count="2" memberValueDatatype="130" unbalanced="0">
      <fieldsUsage count="2">
        <fieldUsage x="-1"/>
        <fieldUsage x="2"/>
      </fieldsUsage>
    </cacheHierarchy>
    <cacheHierarchy uniqueName="[SALES].[VOLUME]" caption="VOLUME" attribute="1" defaultMemberUniqueName="[SALES].[VOLUME].[All]" allUniqueName="[SALES].[VOLUME].[All]" dimensionUniqueName="[SALES]" displayFolder="" count="0" memberValueDatatype="5" unbalanced="0"/>
    <cacheHierarchy uniqueName="[SALES].[AMOUNT]" caption="AMOUNT" attribute="1" defaultMemberUniqueName="[SALES].[AMOUNT].[All]" allUniqueName="[SALES].[AMOUNT].[All]" dimensionUniqueName="[SALES]" displayFolder="" count="0" memberValueDatatype="5" unbalanced="0"/>
    <cacheHierarchy uniqueName="[SALES].[MARKET]" caption="MARKET" attribute="1" defaultMemberUniqueName="[SALES].[MARKET].[All]" allUniqueName="[SALES].[MARKET].[All]" dimensionUniqueName="[SALES]" displayFolder="" count="2" memberValueDatatype="130" unbalanced="0">
      <fieldsUsage count="2">
        <fieldUsage x="-1"/>
        <fieldUsage x="4"/>
      </fieldsUsage>
    </cacheHierarchy>
    <cacheHierarchy uniqueName="[SALES].[DATE (Year)]" caption="DATE (Year)" attribute="1" defaultMemberUniqueName="[SALES].[DATE (Year)].[All]" allUniqueName="[SALES].[DATE (Year)].[All]" dimensionUniqueName="[SALES]" displayFolder="" count="2" memberValueDatatype="130" unbalanced="0">
      <fieldsUsage count="2">
        <fieldUsage x="-1"/>
        <fieldUsage x="0"/>
      </fieldsUsage>
    </cacheHierarchy>
    <cacheHierarchy uniqueName="[SALES].[DATE (Quarter)]" caption="DATE (Quarter)" attribute="1" defaultMemberUniqueName="[SALES].[DATE (Quarter)].[All]" allUniqueName="[SALES].[DATE (Quarter)].[All]" dimensionUniqueName="[SALES]" displayFolder="" count="0" memberValueDatatype="130" unbalanced="0"/>
    <cacheHierarchy uniqueName="[SALES].[DATE (Month)]" caption="DATE (Month)" attribute="1" defaultMemberUniqueName="[SALES].[DATE (Month)].[All]" allUniqueName="[SALES].[DATE (Month)].[All]" dimensionUniqueName="[SALES]" displayFolder="" count="2" memberValueDatatype="130" unbalanced="0">
      <fieldsUsage count="2">
        <fieldUsage x="-1"/>
        <fieldUsage x="1"/>
      </fieldsUsage>
    </cacheHierarchy>
    <cacheHierarchy uniqueName="[SALES].[c_Mcost]" caption="c_Mcost" attribute="1" defaultMemberUniqueName="[SALES].[c_Mcost].[All]" allUniqueName="[SALES].[c_Mcost].[All]" dimensionUniqueName="[SALES]" displayFolder="" count="0" memberValueDatatype="5" unbalanced="0"/>
    <cacheHierarchy uniqueName="[SALES].[cr_AMOUNT]" caption="cr_AMOUNT" attribute="1" defaultMemberUniqueName="[SALES].[cr_AMOUNT].[All]" allUniqueName="[SALES].[cr_AMOUNT].[All]" dimensionUniqueName="[SALES]" displayFolder="" count="0" memberValueDatatype="5" unbalanced="0"/>
    <cacheHierarchy uniqueName="[TW_Price].[YEAR]" caption="YEAR" attribute="1" defaultMemberUniqueName="[TW_Price].[YEAR].[All]" allUniqueName="[TW_Price].[YEAR].[All]" dimensionUniqueName="[TW_Price]" displayFolder="" count="0" memberValueDatatype="130" unbalanced="0"/>
    <cacheHierarchy uniqueName="[TW_Price].[TW_Batteries Price (EUR/KG)]" caption="TW_Batteries Price (EUR/KG)" attribute="1" defaultMemberUniqueName="[TW_Price].[TW_Batteries Price (EUR/KG)].[All]" allUniqueName="[TW_Price].[TW_Batteries Price (EUR/KG)].[All]" dimensionUniqueName="[TW_Price]" displayFolder="" count="0" memberValueDatatype="5" unbalanced="0"/>
    <cacheHierarchy uniqueName="[TW_Price].[TW_Plates Price (EUR/KG)]" caption="TW_Plates Price (EUR/KG)" attribute="1" defaultMemberUniqueName="[TW_Price].[TW_Plates Price (EUR/KG)].[All]" allUniqueName="[TW_Price].[TW_Plates Price (EUR/KG)].[All]" dimensionUniqueName="[TW_Price]" displayFolder="" count="0" memberValueDatatype="5" unbalanced="0"/>
    <cacheHierarchy uniqueName="[LeadAlloy_COST_load].[DATE (Month Index)]" caption="DATE (Month Index)" attribute="1" defaultMemberUniqueName="[LeadAlloy_COST_load].[DATE (Month Index)].[All]" allUniqueName="[LeadAlloy_COST_load].[DATE (Month Index)].[All]" dimensionUniqueName="[LeadAlloy_COST_load]" displayFolder="" count="0" memberValueDatatype="20" unbalanced="0" hidden="1"/>
    <cacheHierarchy uniqueName="[MODEL].[01.CODE]" caption="01.CODE" attribute="1" defaultMemberUniqueName="[MODEL].[01.CODE].[All]" allUniqueName="[MODEL].[01.CODE].[All]" dimensionUniqueName="[MODEL]" displayFolder="" count="0" memberValueDatatype="130" unbalanced="0" hidden="1"/>
    <cacheHierarchy uniqueName="[MODEL].[01.GROUP]" caption="01.GROUP" attribute="1" defaultMemberUniqueName="[MODEL].[01.GROUP].[All]" allUniqueName="[MODEL].[01.GROUP].[All]" dimensionUniqueName="[MODEL]" displayFolder="" count="0" memberValueDatatype="130" unbalanced="0" hidden="1"/>
    <cacheHierarchy uniqueName="[MODEL].[01.Mcode]" caption="01.Mcode" attribute="1" defaultMemberUniqueName="[MODEL].[01.Mcode].[All]" allUniqueName="[MODEL].[01.Mcode].[All]" dimensionUniqueName="[MODEL]" displayFolder="" count="0" memberValueDatatype="130" unbalanced="0" hidden="1"/>
    <cacheHierarchy uniqueName="[MODEL].[01.MEASURE]" caption="01.MEASURE" attribute="1" defaultMemberUniqueName="[MODEL].[01.MEASURE].[All]" allUniqueName="[MODEL].[01.MEASURE].[All]" dimensionUniqueName="[MODEL]" displayFolder="" count="0" memberValueDatatype="130" unbalanced="0" hidden="1"/>
    <cacheHierarchy uniqueName="[MODEL].[01.Merged]" caption="01.Merged" attribute="1" defaultMemberUniqueName="[MODEL].[01.Merged].[All]" allUniqueName="[MODEL].[01.Merged].[All]" dimensionUniqueName="[MODEL]" displayFolder="" count="0" memberValueDatatype="130" unbalanced="0" hidden="1"/>
    <cacheHierarchy uniqueName="[MODEL].[01.Mgroup]" caption="01.Mgroup" attribute="1" defaultMemberUniqueName="[MODEL].[01.Mgroup].[All]" allUniqueName="[MODEL].[01.Mgroup].[All]" dimensionUniqueName="[MODEL]" displayFolder="" count="0" memberValueDatatype="130" unbalanced="0" hidden="1"/>
    <cacheHierarchy uniqueName="[MODEL].[01.Mmeasure]" caption="01.Mmeasure" attribute="1" defaultMemberUniqueName="[MODEL].[01.Mmeasure].[All]" allUniqueName="[MODEL].[01.Mmeasure].[All]" dimensionUniqueName="[MODEL]" displayFolder="" count="0" memberValueDatatype="130" unbalanced="0" hidden="1"/>
    <cacheHierarchy uniqueName="[MODEL].[01.Mname]" caption="01.Mname" attribute="1" defaultMemberUniqueName="[MODEL].[01.Mname].[All]" allUniqueName="[MODEL].[01.Mname].[All]" dimensionUniqueName="[MODEL]" displayFolder="" count="0" memberValueDatatype="130" unbalanced="0" hidden="1"/>
    <cacheHierarchy uniqueName="[MODEL].[01.Mqty]" caption="01.Mqty" attribute="1" defaultMemberUniqueName="[MODEL].[01.Mqty].[All]" allUniqueName="[MODEL].[01.Mqty].[All]" dimensionUniqueName="[MODEL]" displayFolder="" count="0" memberValueDatatype="5" unbalanced="0" hidden="1"/>
    <cacheHierarchy uniqueName="[MODEL].[01.Mtype]" caption="01.Mtype" attribute="1" defaultMemberUniqueName="[MODEL].[01.Mtype].[All]" allUniqueName="[MODEL].[01.Mtype].[All]" dimensionUniqueName="[MODEL]" displayFolder="" count="0" memberValueDatatype="130" unbalanced="0" hidden="1"/>
    <cacheHierarchy uniqueName="[MODEL].[01.NAME]" caption="01.NAME" attribute="1" defaultMemberUniqueName="[MODEL].[01.NAME].[All]" allUniqueName="[MODEL].[01.NAME].[All]" dimensionUniqueName="[MODEL]" displayFolder="" count="0" memberValueDatatype="130" unbalanced="0" hidden="1"/>
    <cacheHierarchy uniqueName="[MODEL].[01.QTY]" caption="01.QTY" attribute="1" defaultMemberUniqueName="[MODEL].[01.QTY].[All]" allUniqueName="[MODEL].[01.QTY].[All]" dimensionUniqueName="[MODEL]" displayFolder="" count="0" memberValueDatatype="5" unbalanced="0" hidden="1"/>
    <cacheHierarchy uniqueName="[MODEL].[01.STAGE]" caption="01.STAGE" attribute="1" defaultMemberUniqueName="[MODEL].[01.STAGE].[All]" allUniqueName="[MODEL].[01.STAGE].[All]" dimensionUniqueName="[MODEL]" displayFolder="" count="0" memberValueDatatype="130" unbalanced="0" hidden="1"/>
    <cacheHierarchy uniqueName="[MODEL].[01.TW]" caption="01.TW" attribute="1" defaultMemberUniqueName="[MODEL].[01.TW].[All]" allUniqueName="[MODEL].[01.TW].[All]" dimensionUniqueName="[MODEL]" displayFolder="" count="0" memberValueDatatype="130" unbalanced="0" hidden="1"/>
    <cacheHierarchy uniqueName="[MODEL].[01.TYPE]" caption="01.TYPE" attribute="1" defaultMemberUniqueName="[MODEL].[01.TYPE].[All]" allUniqueName="[MODEL].[01.TYPE].[All]" dimensionUniqueName="[MODEL]" displayFolder="" count="0" memberValueDatatype="130" unbalanced="0" hidden="1"/>
    <cacheHierarchy uniqueName="[MODEL].[02.CODE]" caption="02.CODE" attribute="1" defaultMemberUniqueName="[MODEL].[02.CODE].[All]" allUniqueName="[MODEL].[02.CODE].[All]" dimensionUniqueName="[MODEL]" displayFolder="" count="0" memberValueDatatype="130" unbalanced="0" hidden="1"/>
    <cacheHierarchy uniqueName="[MODEL].[02.GROUP]" caption="02.GROUP" attribute="1" defaultMemberUniqueName="[MODEL].[02.GROUP].[All]" allUniqueName="[MODEL].[02.GROUP].[All]" dimensionUniqueName="[MODEL]" displayFolder="" count="0" memberValueDatatype="130" unbalanced="0" hidden="1"/>
    <cacheHierarchy uniqueName="[MODEL].[02.Mcode]" caption="02.Mcode" attribute="1" defaultMemberUniqueName="[MODEL].[02.Mcode].[All]" allUniqueName="[MODEL].[02.Mcode].[All]" dimensionUniqueName="[MODEL]" displayFolder="" count="0" memberValueDatatype="130" unbalanced="0" hidden="1"/>
    <cacheHierarchy uniqueName="[MODEL].[02.MEASURE]" caption="02.MEASURE" attribute="1" defaultMemberUniqueName="[MODEL].[02.MEASURE].[All]" allUniqueName="[MODEL].[02.MEASURE].[All]" dimensionUniqueName="[MODEL]" displayFolder="" count="0" memberValueDatatype="130" unbalanced="0" hidden="1"/>
    <cacheHierarchy uniqueName="[MODEL].[02.Merged]" caption="02.Merged" attribute="1" defaultMemberUniqueName="[MODEL].[02.Merged].[All]" allUniqueName="[MODEL].[02.Merged].[All]" dimensionUniqueName="[MODEL]" displayFolder="" count="0" memberValueDatatype="130" unbalanced="0" hidden="1"/>
    <cacheHierarchy uniqueName="[MODEL].[02.Mgroup]" caption="02.Mgroup" attribute="1" defaultMemberUniqueName="[MODEL].[02.Mgroup].[All]" allUniqueName="[MODEL].[02.Mgroup].[All]" dimensionUniqueName="[MODEL]" displayFolder="" count="0" memberValueDatatype="130" unbalanced="0" hidden="1"/>
    <cacheHierarchy uniqueName="[MODEL].[02.Mmeasure]" caption="02.Mmeasure" attribute="1" defaultMemberUniqueName="[MODEL].[02.Mmeasure].[All]" allUniqueName="[MODEL].[02.Mmeasure].[All]" dimensionUniqueName="[MODEL]" displayFolder="" count="0" memberValueDatatype="130" unbalanced="0" hidden="1"/>
    <cacheHierarchy uniqueName="[MODEL].[02.Mname]" caption="02.Mname" attribute="1" defaultMemberUniqueName="[MODEL].[02.Mname].[All]" allUniqueName="[MODEL].[02.Mname].[All]" dimensionUniqueName="[MODEL]" displayFolder="" count="0" memberValueDatatype="130" unbalanced="0" hidden="1"/>
    <cacheHierarchy uniqueName="[MODEL].[02.Mqty]" caption="02.Mqty" attribute="1" defaultMemberUniqueName="[MODEL].[02.Mqty].[All]" allUniqueName="[MODEL].[02.Mqty].[All]" dimensionUniqueName="[MODEL]" displayFolder="" count="0" memberValueDatatype="5" unbalanced="0" hidden="1"/>
    <cacheHierarchy uniqueName="[MODEL].[02.Mtype]" caption="02.Mtype" attribute="1" defaultMemberUniqueName="[MODEL].[02.Mtype].[All]" allUniqueName="[MODEL].[02.Mtype].[All]" dimensionUniqueName="[MODEL]" displayFolder="" count="0" memberValueDatatype="130" unbalanced="0" hidden="1"/>
    <cacheHierarchy uniqueName="[MODEL].[02.NAME]" caption="02.NAME" attribute="1" defaultMemberUniqueName="[MODEL].[02.NAME].[All]" allUniqueName="[MODEL].[02.NAME].[All]" dimensionUniqueName="[MODEL]" displayFolder="" count="0" memberValueDatatype="130" unbalanced="0" hidden="1"/>
    <cacheHierarchy uniqueName="[MODEL].[02.QTY]" caption="02.QTY" attribute="1" defaultMemberUniqueName="[MODEL].[02.QTY].[All]" allUniqueName="[MODEL].[02.QTY].[All]" dimensionUniqueName="[MODEL]" displayFolder="" count="0" memberValueDatatype="5" unbalanced="0" hidden="1"/>
    <cacheHierarchy uniqueName="[MODEL].[02.STAGE]" caption="02.STAGE" attribute="1" defaultMemberUniqueName="[MODEL].[02.STAGE].[All]" allUniqueName="[MODEL].[02.STAGE].[All]" dimensionUniqueName="[MODEL]" displayFolder="" count="0" memberValueDatatype="130" unbalanced="0" hidden="1"/>
    <cacheHierarchy uniqueName="[MODEL].[02.TW]" caption="02.TW" attribute="1" defaultMemberUniqueName="[MODEL].[02.TW].[All]" allUniqueName="[MODEL].[02.TW].[All]" dimensionUniqueName="[MODEL]" displayFolder="" count="0" memberValueDatatype="130" unbalanced="0" hidden="1"/>
    <cacheHierarchy uniqueName="[MODEL].[02.TYPE]" caption="02.TYPE" attribute="1" defaultMemberUniqueName="[MODEL].[02.TYPE].[All]" allUniqueName="[MODEL].[02.TYPE].[All]" dimensionUniqueName="[MODEL]" displayFolder="" count="0" memberValueDatatype="130" unbalanced="0" hidden="1"/>
    <cacheHierarchy uniqueName="[MODEL].[03.CODE]" caption="03.CODE" attribute="1" defaultMemberUniqueName="[MODEL].[03.CODE].[All]" allUniqueName="[MODEL].[03.CODE].[All]" dimensionUniqueName="[MODEL]" displayFolder="" count="0" memberValueDatatype="130" unbalanced="0" hidden="1"/>
    <cacheHierarchy uniqueName="[MODEL].[03.GROUP]" caption="03.GROUP" attribute="1" defaultMemberUniqueName="[MODEL].[03.GROUP].[All]" allUniqueName="[MODEL].[03.GROUP].[All]" dimensionUniqueName="[MODEL]" displayFolder="" count="0" memberValueDatatype="130" unbalanced="0" hidden="1"/>
    <cacheHierarchy uniqueName="[MODEL].[03.Mcode]" caption="03.Mcode" attribute="1" defaultMemberUniqueName="[MODEL].[03.Mcode].[All]" allUniqueName="[MODEL].[03.Mcode].[All]" dimensionUniqueName="[MODEL]" displayFolder="" count="0" memberValueDatatype="130" unbalanced="0" hidden="1"/>
    <cacheHierarchy uniqueName="[MODEL].[03.MEASURE]" caption="03.MEASURE" attribute="1" defaultMemberUniqueName="[MODEL].[03.MEASURE].[All]" allUniqueName="[MODEL].[03.MEASURE].[All]" dimensionUniqueName="[MODEL]" displayFolder="" count="0" memberValueDatatype="130" unbalanced="0" hidden="1"/>
    <cacheHierarchy uniqueName="[MODEL].[03.Merged]" caption="03.Merged" attribute="1" defaultMemberUniqueName="[MODEL].[03.Merged].[All]" allUniqueName="[MODEL].[03.Merged].[All]" dimensionUniqueName="[MODEL]" displayFolder="" count="0" memberValueDatatype="130" unbalanced="0" hidden="1"/>
    <cacheHierarchy uniqueName="[MODEL].[03.Mgroup]" caption="03.Mgroup" attribute="1" defaultMemberUniqueName="[MODEL].[03.Mgroup].[All]" allUniqueName="[MODEL].[03.Mgroup].[All]" dimensionUniqueName="[MODEL]" displayFolder="" count="0" memberValueDatatype="130" unbalanced="0" hidden="1"/>
    <cacheHierarchy uniqueName="[MODEL].[03.Mmeasure]" caption="03.Mmeasure" attribute="1" defaultMemberUniqueName="[MODEL].[03.Mmeasure].[All]" allUniqueName="[MODEL].[03.Mmeasure].[All]" dimensionUniqueName="[MODEL]" displayFolder="" count="0" memberValueDatatype="130" unbalanced="0" hidden="1"/>
    <cacheHierarchy uniqueName="[MODEL].[03.Mname]" caption="03.Mname" attribute="1" defaultMemberUniqueName="[MODEL].[03.Mname].[All]" allUniqueName="[MODEL].[03.Mname].[All]" dimensionUniqueName="[MODEL]" displayFolder="" count="0" memberValueDatatype="130" unbalanced="0" hidden="1"/>
    <cacheHierarchy uniqueName="[MODEL].[03.Mqty]" caption="03.Mqty" attribute="1" defaultMemberUniqueName="[MODEL].[03.Mqty].[All]" allUniqueName="[MODEL].[03.Mqty].[All]" dimensionUniqueName="[MODEL]" displayFolder="" count="0" memberValueDatatype="5" unbalanced="0" hidden="1"/>
    <cacheHierarchy uniqueName="[MODEL].[03.Mtype]" caption="03.Mtype" attribute="1" defaultMemberUniqueName="[MODEL].[03.Mtype].[All]" allUniqueName="[MODEL].[03.Mtype].[All]" dimensionUniqueName="[MODEL]" displayFolder="" count="0" memberValueDatatype="130" unbalanced="0" hidden="1"/>
    <cacheHierarchy uniqueName="[MODEL].[03.NAME]" caption="03.NAME" attribute="1" defaultMemberUniqueName="[MODEL].[03.NAME].[All]" allUniqueName="[MODEL].[03.NAME].[All]" dimensionUniqueName="[MODEL]" displayFolder="" count="0" memberValueDatatype="130" unbalanced="0" hidden="1"/>
    <cacheHierarchy uniqueName="[MODEL].[03.QTY]" caption="03.QTY" attribute="1" defaultMemberUniqueName="[MODEL].[03.QTY].[All]" allUniqueName="[MODEL].[03.QTY].[All]" dimensionUniqueName="[MODEL]" displayFolder="" count="0" memberValueDatatype="5" unbalanced="0" hidden="1"/>
    <cacheHierarchy uniqueName="[MODEL].[03.STAGE]" caption="03.STAGE" attribute="1" defaultMemberUniqueName="[MODEL].[03.STAGE].[All]" allUniqueName="[MODEL].[03.STAGE].[All]" dimensionUniqueName="[MODEL]" displayFolder="" count="0" memberValueDatatype="130" unbalanced="0" hidden="1"/>
    <cacheHierarchy uniqueName="[MODEL].[03.TW]" caption="03.TW" attribute="1" defaultMemberUniqueName="[MODEL].[03.TW].[All]" allUniqueName="[MODEL].[03.TW].[All]" dimensionUniqueName="[MODEL]" displayFolder="" count="0" memberValueDatatype="130" unbalanced="0" hidden="1"/>
    <cacheHierarchy uniqueName="[MODEL].[03.TYPE]" caption="03.TYPE" attribute="1" defaultMemberUniqueName="[MODEL].[03.TYPE].[All]" allUniqueName="[MODEL].[03.TYPE].[All]" dimensionUniqueName="[MODEL]" displayFolder="" count="0" memberValueDatatype="130" unbalanced="0" hidden="1"/>
    <cacheHierarchy uniqueName="[MODEL].[04.CODE]" caption="04.CODE" attribute="1" defaultMemberUniqueName="[MODEL].[04.CODE].[All]" allUniqueName="[MODEL].[04.CODE].[All]" dimensionUniqueName="[MODEL]" displayFolder="" count="0" memberValueDatatype="130" unbalanced="0" hidden="1"/>
    <cacheHierarchy uniqueName="[MODEL].[04.GROUP]" caption="04.GROUP" attribute="1" defaultMemberUniqueName="[MODEL].[04.GROUP].[All]" allUniqueName="[MODEL].[04.GROUP].[All]" dimensionUniqueName="[MODEL]" displayFolder="" count="0" memberValueDatatype="130" unbalanced="0" hidden="1"/>
    <cacheHierarchy uniqueName="[MODEL].[04.Mcode]" caption="04.Mcode" attribute="1" defaultMemberUniqueName="[MODEL].[04.Mcode].[All]" allUniqueName="[MODEL].[04.Mcode].[All]" dimensionUniqueName="[MODEL]" displayFolder="" count="0" memberValueDatatype="130" unbalanced="0" hidden="1"/>
    <cacheHierarchy uniqueName="[MODEL].[04.MEASURE]" caption="04.MEASURE" attribute="1" defaultMemberUniqueName="[MODEL].[04.MEASURE].[All]" allUniqueName="[MODEL].[04.MEASURE].[All]" dimensionUniqueName="[MODEL]" displayFolder="" count="0" memberValueDatatype="130" unbalanced="0" hidden="1"/>
    <cacheHierarchy uniqueName="[MODEL].[04.Merged]" caption="04.Merged" attribute="1" defaultMemberUniqueName="[MODEL].[04.Merged].[All]" allUniqueName="[MODEL].[04.Merged].[All]" dimensionUniqueName="[MODEL]" displayFolder="" count="0" memberValueDatatype="130" unbalanced="0" hidden="1"/>
    <cacheHierarchy uniqueName="[MODEL].[04.Mgroup]" caption="04.Mgroup" attribute="1" defaultMemberUniqueName="[MODEL].[04.Mgroup].[All]" allUniqueName="[MODEL].[04.Mgroup].[All]" dimensionUniqueName="[MODEL]" displayFolder="" count="0" memberValueDatatype="130" unbalanced="0" hidden="1"/>
    <cacheHierarchy uniqueName="[MODEL].[04.Mmeasure]" caption="04.Mmeasure" attribute="1" defaultMemberUniqueName="[MODEL].[04.Mmeasure].[All]" allUniqueName="[MODEL].[04.Mmeasure].[All]" dimensionUniqueName="[MODEL]" displayFolder="" count="0" memberValueDatatype="130" unbalanced="0" hidden="1"/>
    <cacheHierarchy uniqueName="[MODEL].[04.Mname]" caption="04.Mname" attribute="1" defaultMemberUniqueName="[MODEL].[04.Mname].[All]" allUniqueName="[MODEL].[04.Mname].[All]" dimensionUniqueName="[MODEL]" displayFolder="" count="0" memberValueDatatype="130" unbalanced="0" hidden="1"/>
    <cacheHierarchy uniqueName="[MODEL].[04.Mqty]" caption="04.Mqty" attribute="1" defaultMemberUniqueName="[MODEL].[04.Mqty].[All]" allUniqueName="[MODEL].[04.Mqty].[All]" dimensionUniqueName="[MODEL]" displayFolder="" count="0" memberValueDatatype="5" unbalanced="0" hidden="1"/>
    <cacheHierarchy uniqueName="[MODEL].[04.Mtype]" caption="04.Mtype" attribute="1" defaultMemberUniqueName="[MODEL].[04.Mtype].[All]" allUniqueName="[MODEL].[04.Mtype].[All]" dimensionUniqueName="[MODEL]" displayFolder="" count="0" memberValueDatatype="130" unbalanced="0" hidden="1"/>
    <cacheHierarchy uniqueName="[MODEL].[04.NAME]" caption="04.NAME" attribute="1" defaultMemberUniqueName="[MODEL].[04.NAME].[All]" allUniqueName="[MODEL].[04.NAME].[All]" dimensionUniqueName="[MODEL]" displayFolder="" count="0" memberValueDatatype="130" unbalanced="0" hidden="1"/>
    <cacheHierarchy uniqueName="[MODEL].[04.QTY]" caption="04.QTY" attribute="1" defaultMemberUniqueName="[MODEL].[04.QTY].[All]" allUniqueName="[MODEL].[04.QTY].[All]" dimensionUniqueName="[MODEL]" displayFolder="" count="0" memberValueDatatype="5" unbalanced="0" hidden="1"/>
    <cacheHierarchy uniqueName="[MODEL].[04.STAGE]" caption="04.STAGE" attribute="1" defaultMemberUniqueName="[MODEL].[04.STAGE].[All]" allUniqueName="[MODEL].[04.STAGE].[All]" dimensionUniqueName="[MODEL]" displayFolder="" count="0" memberValueDatatype="130" unbalanced="0" hidden="1"/>
    <cacheHierarchy uniqueName="[MODEL].[04.TW]" caption="04.TW" attribute="1" defaultMemberUniqueName="[MODEL].[04.TW].[All]" allUniqueName="[MODEL].[04.TW].[All]" dimensionUniqueName="[MODEL]" displayFolder="" count="0" memberValueDatatype="130" unbalanced="0" hidden="1"/>
    <cacheHierarchy uniqueName="[MODEL].[04.TYPE]" caption="04.TYPE" attribute="1" defaultMemberUniqueName="[MODEL].[04.TYPE].[All]" allUniqueName="[MODEL].[04.TYPE].[All]" dimensionUniqueName="[MODEL]" displayFolder="" count="0" memberValueDatatype="130" unbalanced="0" hidden="1"/>
    <cacheHierarchy uniqueName="[MODEL].[05.CODE]" caption="05.CODE" attribute="1" defaultMemberUniqueName="[MODEL].[05.CODE].[All]" allUniqueName="[MODEL].[05.CODE].[All]" dimensionUniqueName="[MODEL]" displayFolder="" count="0" memberValueDatatype="130" unbalanced="0" hidden="1"/>
    <cacheHierarchy uniqueName="[MODEL].[05.GROUP]" caption="05.GROUP" attribute="1" defaultMemberUniqueName="[MODEL].[05.GROUP].[All]" allUniqueName="[MODEL].[05.GROUP].[All]" dimensionUniqueName="[MODEL]" displayFolder="" count="0" memberValueDatatype="130" unbalanced="0" hidden="1"/>
    <cacheHierarchy uniqueName="[MODEL].[05.Mcode]" caption="05.Mcode" attribute="1" defaultMemberUniqueName="[MODEL].[05.Mcode].[All]" allUniqueName="[MODEL].[05.Mcode].[All]" dimensionUniqueName="[MODEL]" displayFolder="" count="0" memberValueDatatype="130" unbalanced="0" hidden="1"/>
    <cacheHierarchy uniqueName="[MODEL].[05.MEASURE]" caption="05.MEASURE" attribute="1" defaultMemberUniqueName="[MODEL].[05.MEASURE].[All]" allUniqueName="[MODEL].[05.MEASURE].[All]" dimensionUniqueName="[MODEL]" displayFolder="" count="0" memberValueDatatype="130" unbalanced="0" hidden="1"/>
    <cacheHierarchy uniqueName="[MODEL].[05.Merged]" caption="05.Merged" attribute="1" defaultMemberUniqueName="[MODEL].[05.Merged].[All]" allUniqueName="[MODEL].[05.Merged].[All]" dimensionUniqueName="[MODEL]" displayFolder="" count="0" memberValueDatatype="130" unbalanced="0" hidden="1"/>
    <cacheHierarchy uniqueName="[MODEL].[05.Mgroup]" caption="05.Mgroup" attribute="1" defaultMemberUniqueName="[MODEL].[05.Mgroup].[All]" allUniqueName="[MODEL].[05.Mgroup].[All]" dimensionUniqueName="[MODEL]" displayFolder="" count="0" memberValueDatatype="130" unbalanced="0" hidden="1"/>
    <cacheHierarchy uniqueName="[MODEL].[05.Mmeasure]" caption="05.Mmeasure" attribute="1" defaultMemberUniqueName="[MODEL].[05.Mmeasure].[All]" allUniqueName="[MODEL].[05.Mmeasure].[All]" dimensionUniqueName="[MODEL]" displayFolder="" count="0" memberValueDatatype="130" unbalanced="0" hidden="1"/>
    <cacheHierarchy uniqueName="[MODEL].[05.Mname]" caption="05.Mname" attribute="1" defaultMemberUniqueName="[MODEL].[05.Mname].[All]" allUniqueName="[MODEL].[05.Mname].[All]" dimensionUniqueName="[MODEL]" displayFolder="" count="0" memberValueDatatype="130" unbalanced="0" hidden="1"/>
    <cacheHierarchy uniqueName="[MODEL].[05.Mqty]" caption="05.Mqty" attribute="1" defaultMemberUniqueName="[MODEL].[05.Mqty].[All]" allUniqueName="[MODEL].[05.Mqty].[All]" dimensionUniqueName="[MODEL]" displayFolder="" count="0" memberValueDatatype="5" unbalanced="0" hidden="1"/>
    <cacheHierarchy uniqueName="[MODEL].[05.Mtype]" caption="05.Mtype" attribute="1" defaultMemberUniqueName="[MODEL].[05.Mtype].[All]" allUniqueName="[MODEL].[05.Mtype].[All]" dimensionUniqueName="[MODEL]" displayFolder="" count="0" memberValueDatatype="130" unbalanced="0" hidden="1"/>
    <cacheHierarchy uniqueName="[MODEL].[05.NAME]" caption="05.NAME" attribute="1" defaultMemberUniqueName="[MODEL].[05.NAME].[All]" allUniqueName="[MODEL].[05.NAME].[All]" dimensionUniqueName="[MODEL]" displayFolder="" count="0" memberValueDatatype="130" unbalanced="0" hidden="1"/>
    <cacheHierarchy uniqueName="[MODEL].[05.QTY]" caption="05.QTY" attribute="1" defaultMemberUniqueName="[MODEL].[05.QTY].[All]" allUniqueName="[MODEL].[05.QTY].[All]" dimensionUniqueName="[MODEL]" displayFolder="" count="0" memberValueDatatype="5" unbalanced="0" hidden="1"/>
    <cacheHierarchy uniqueName="[MODEL].[05.STAGE]" caption="05.STAGE" attribute="1" defaultMemberUniqueName="[MODEL].[05.STAGE].[All]" allUniqueName="[MODEL].[05.STAGE].[All]" dimensionUniqueName="[MODEL]" displayFolder="" count="0" memberValueDatatype="130" unbalanced="0" hidden="1"/>
    <cacheHierarchy uniqueName="[MODEL].[05.TW]" caption="05.TW" attribute="1" defaultMemberUniqueName="[MODEL].[05.TW].[All]" allUniqueName="[MODEL].[05.TW].[All]" dimensionUniqueName="[MODEL]" displayFolder="" count="0" memberValueDatatype="130" unbalanced="0" hidden="1"/>
    <cacheHierarchy uniqueName="[MODEL].[05.TYPE]" caption="05.TYPE" attribute="1" defaultMemberUniqueName="[MODEL].[05.TYPE].[All]" allUniqueName="[MODEL].[05.TYPE].[All]" dimensionUniqueName="[MODEL]" displayFolder="" count="0" memberValueDatatype="130" unbalanced="0" hidden="1"/>
    <cacheHierarchy uniqueName="[MODEL].[06.CODE]" caption="06.CODE" attribute="1" defaultMemberUniqueName="[MODEL].[06.CODE].[All]" allUniqueName="[MODEL].[06.CODE].[All]" dimensionUniqueName="[MODEL]" displayFolder="" count="0" memberValueDatatype="130" unbalanced="0" hidden="1"/>
    <cacheHierarchy uniqueName="[MODEL].[06.GROUP]" caption="06.GROUP" attribute="1" defaultMemberUniqueName="[MODEL].[06.GROUP].[All]" allUniqueName="[MODEL].[06.GROUP].[All]" dimensionUniqueName="[MODEL]" displayFolder="" count="0" memberValueDatatype="130" unbalanced="0" hidden="1"/>
    <cacheHierarchy uniqueName="[MODEL].[06.Mcode]" caption="06.Mcode" attribute="1" defaultMemberUniqueName="[MODEL].[06.Mcode].[All]" allUniqueName="[MODEL].[06.Mcode].[All]" dimensionUniqueName="[MODEL]" displayFolder="" count="0" memberValueDatatype="130" unbalanced="0" hidden="1"/>
    <cacheHierarchy uniqueName="[MODEL].[06.MEASURE]" caption="06.MEASURE" attribute="1" defaultMemberUniqueName="[MODEL].[06.MEASURE].[All]" allUniqueName="[MODEL].[06.MEASURE].[All]" dimensionUniqueName="[MODEL]" displayFolder="" count="0" memberValueDatatype="130" unbalanced="0" hidden="1"/>
    <cacheHierarchy uniqueName="[MODEL].[06.Merged]" caption="06.Merged" attribute="1" defaultMemberUniqueName="[MODEL].[06.Merged].[All]" allUniqueName="[MODEL].[06.Merged].[All]" dimensionUniqueName="[MODEL]" displayFolder="" count="0" memberValueDatatype="130" unbalanced="0" hidden="1"/>
    <cacheHierarchy uniqueName="[MODEL].[06.Mgroup]" caption="06.Mgroup" attribute="1" defaultMemberUniqueName="[MODEL].[06.Mgroup].[All]" allUniqueName="[MODEL].[06.Mgroup].[All]" dimensionUniqueName="[MODEL]" displayFolder="" count="0" memberValueDatatype="130" unbalanced="0" hidden="1"/>
    <cacheHierarchy uniqueName="[MODEL].[06.Mmeasure]" caption="06.Mmeasure" attribute="1" defaultMemberUniqueName="[MODEL].[06.Mmeasure].[All]" allUniqueName="[MODEL].[06.Mmeasure].[All]" dimensionUniqueName="[MODEL]" displayFolder="" count="0" memberValueDatatype="130" unbalanced="0" hidden="1"/>
    <cacheHierarchy uniqueName="[MODEL].[06.Mname]" caption="06.Mname" attribute="1" defaultMemberUniqueName="[MODEL].[06.Mname].[All]" allUniqueName="[MODEL].[06.Mname].[All]" dimensionUniqueName="[MODEL]" displayFolder="" count="0" memberValueDatatype="130" unbalanced="0" hidden="1"/>
    <cacheHierarchy uniqueName="[MODEL].[06.Mqty]" caption="06.Mqty" attribute="1" defaultMemberUniqueName="[MODEL].[06.Mqty].[All]" allUniqueName="[MODEL].[06.Mqty].[All]" dimensionUniqueName="[MODEL]" displayFolder="" count="0" memberValueDatatype="5" unbalanced="0" hidden="1"/>
    <cacheHierarchy uniqueName="[MODEL].[06.Mtype]" caption="06.Mtype" attribute="1" defaultMemberUniqueName="[MODEL].[06.Mtype].[All]" allUniqueName="[MODEL].[06.Mtype].[All]" dimensionUniqueName="[MODEL]" displayFolder="" count="0" memberValueDatatype="130" unbalanced="0" hidden="1"/>
    <cacheHierarchy uniqueName="[MODEL].[06.NAME]" caption="06.NAME" attribute="1" defaultMemberUniqueName="[MODEL].[06.NAME].[All]" allUniqueName="[MODEL].[06.NAME].[All]" dimensionUniqueName="[MODEL]" displayFolder="" count="0" memberValueDatatype="130" unbalanced="0" hidden="1"/>
    <cacheHierarchy uniqueName="[MODEL].[06.QTY]" caption="06.QTY" attribute="1" defaultMemberUniqueName="[MODEL].[06.QTY].[All]" allUniqueName="[MODEL].[06.QTY].[All]" dimensionUniqueName="[MODEL]" displayFolder="" count="0" memberValueDatatype="5" unbalanced="0" hidden="1"/>
    <cacheHierarchy uniqueName="[MODEL].[06.STAGE]" caption="06.STAGE" attribute="1" defaultMemberUniqueName="[MODEL].[06.STAGE].[All]" allUniqueName="[MODEL].[06.STAGE].[All]" dimensionUniqueName="[MODEL]" displayFolder="" count="0" memberValueDatatype="130" unbalanced="0" hidden="1"/>
    <cacheHierarchy uniqueName="[MODEL].[06.TW]" caption="06.TW" attribute="1" defaultMemberUniqueName="[MODEL].[06.TW].[All]" allUniqueName="[MODEL].[06.TW].[All]" dimensionUniqueName="[MODEL]" displayFolder="" count="0" memberValueDatatype="130" unbalanced="0" hidden="1"/>
    <cacheHierarchy uniqueName="[MODEL].[06.TYPE]" caption="06.TYPE" attribute="1" defaultMemberUniqueName="[MODEL].[06.TYPE].[All]" allUniqueName="[MODEL].[06.TYPE].[All]" dimensionUniqueName="[MODEL]" displayFolder="" count="0" memberValueDatatype="130" unbalanced="0" hidden="1"/>
    <cacheHierarchy uniqueName="[MODEL].[07.CODE]" caption="07.CODE" attribute="1" defaultMemberUniqueName="[MODEL].[07.CODE].[All]" allUniqueName="[MODEL].[07.CODE].[All]" dimensionUniqueName="[MODEL]" displayFolder="" count="0" memberValueDatatype="130" unbalanced="0" hidden="1"/>
    <cacheHierarchy uniqueName="[MODEL].[07.GROUP]" caption="07.GROUP" attribute="1" defaultMemberUniqueName="[MODEL].[07.GROUP].[All]" allUniqueName="[MODEL].[07.GROUP].[All]" dimensionUniqueName="[MODEL]" displayFolder="" count="0" memberValueDatatype="130" unbalanced="0" hidden="1"/>
    <cacheHierarchy uniqueName="[MODEL].[07.Mcode]" caption="07.Mcode" attribute="1" defaultMemberUniqueName="[MODEL].[07.Mcode].[All]" allUniqueName="[MODEL].[07.Mcode].[All]" dimensionUniqueName="[MODEL]" displayFolder="" count="0" memberValueDatatype="130" unbalanced="0" hidden="1"/>
    <cacheHierarchy uniqueName="[MODEL].[07.MEASURE]" caption="07.MEASURE" attribute="1" defaultMemberUniqueName="[MODEL].[07.MEASURE].[All]" allUniqueName="[MODEL].[07.MEASURE].[All]" dimensionUniqueName="[MODEL]" displayFolder="" count="0" memberValueDatatype="130" unbalanced="0" hidden="1"/>
    <cacheHierarchy uniqueName="[MODEL].[07.Merged]" caption="07.Merged" attribute="1" defaultMemberUniqueName="[MODEL].[07.Merged].[All]" allUniqueName="[MODEL].[07.Merged].[All]" dimensionUniqueName="[MODEL]" displayFolder="" count="0" memberValueDatatype="130" unbalanced="0" hidden="1"/>
    <cacheHierarchy uniqueName="[MODEL].[07.Mgroup]" caption="07.Mgroup" attribute="1" defaultMemberUniqueName="[MODEL].[07.Mgroup].[All]" allUniqueName="[MODEL].[07.Mgroup].[All]" dimensionUniqueName="[MODEL]" displayFolder="" count="0" memberValueDatatype="130" unbalanced="0" hidden="1"/>
    <cacheHierarchy uniqueName="[MODEL].[07.Mmeasure]" caption="07.Mmeasure" attribute="1" defaultMemberUniqueName="[MODEL].[07.Mmeasure].[All]" allUniqueName="[MODEL].[07.Mmeasure].[All]" dimensionUniqueName="[MODEL]" displayFolder="" count="0" memberValueDatatype="130" unbalanced="0" hidden="1"/>
    <cacheHierarchy uniqueName="[MODEL].[07.Mname]" caption="07.Mname" attribute="1" defaultMemberUniqueName="[MODEL].[07.Mname].[All]" allUniqueName="[MODEL].[07.Mname].[All]" dimensionUniqueName="[MODEL]" displayFolder="" count="0" memberValueDatatype="130" unbalanced="0" hidden="1"/>
    <cacheHierarchy uniqueName="[MODEL].[07.Mqty]" caption="07.Mqty" attribute="1" defaultMemberUniqueName="[MODEL].[07.Mqty].[All]" allUniqueName="[MODEL].[07.Mqty].[All]" dimensionUniqueName="[MODEL]" displayFolder="" count="0" memberValueDatatype="5" unbalanced="0" hidden="1"/>
    <cacheHierarchy uniqueName="[MODEL].[07.Mtype]" caption="07.Mtype" attribute="1" defaultMemberUniqueName="[MODEL].[07.Mtype].[All]" allUniqueName="[MODEL].[07.Mtype].[All]" dimensionUniqueName="[MODEL]" displayFolder="" count="0" memberValueDatatype="130" unbalanced="0" hidden="1"/>
    <cacheHierarchy uniqueName="[MODEL].[07.NAME]" caption="07.NAME" attribute="1" defaultMemberUniqueName="[MODEL].[07.NAME].[All]" allUniqueName="[MODEL].[07.NAME].[All]" dimensionUniqueName="[MODEL]" displayFolder="" count="0" memberValueDatatype="130" unbalanced="0" hidden="1"/>
    <cacheHierarchy uniqueName="[MODEL].[07.QTY]" caption="07.QTY" attribute="1" defaultMemberUniqueName="[MODEL].[07.QTY].[All]" allUniqueName="[MODEL].[07.QTY].[All]" dimensionUniqueName="[MODEL]" displayFolder="" count="0" memberValueDatatype="5" unbalanced="0" hidden="1"/>
    <cacheHierarchy uniqueName="[MODEL].[07.STAGE]" caption="07.STAGE" attribute="1" defaultMemberUniqueName="[MODEL].[07.STAGE].[All]" allUniqueName="[MODEL].[07.STAGE].[All]" dimensionUniqueName="[MODEL]" displayFolder="" count="0" memberValueDatatype="130" unbalanced="0" hidden="1"/>
    <cacheHierarchy uniqueName="[MODEL].[07.TW]" caption="07.TW" attribute="1" defaultMemberUniqueName="[MODEL].[07.TW].[All]" allUniqueName="[MODEL].[07.TW].[All]" dimensionUniqueName="[MODEL]" displayFolder="" count="0" memberValueDatatype="130" unbalanced="0" hidden="1"/>
    <cacheHierarchy uniqueName="[MODEL].[07.TYPE]" caption="07.TYPE" attribute="1" defaultMemberUniqueName="[MODEL].[07.TYPE].[All]" allUniqueName="[MODEL].[07.TYPE].[All]" dimensionUniqueName="[MODEL]" displayFolder="" count="0" memberValueDatatype="130" unbalanced="0" hidden="1"/>
    <cacheHierarchy uniqueName="[MODEL].[08.CODE]" caption="08.CODE" attribute="1" defaultMemberUniqueName="[MODEL].[08.CODE].[All]" allUniqueName="[MODEL].[08.CODE].[All]" dimensionUniqueName="[MODEL]" displayFolder="" count="0" memberValueDatatype="130" unbalanced="0" hidden="1"/>
    <cacheHierarchy uniqueName="[MODEL].[08.GROUP]" caption="08.GROUP" attribute="1" defaultMemberUniqueName="[MODEL].[08.GROUP].[All]" allUniqueName="[MODEL].[08.GROUP].[All]" dimensionUniqueName="[MODEL]" displayFolder="" count="0" memberValueDatatype="130" unbalanced="0" hidden="1"/>
    <cacheHierarchy uniqueName="[MODEL].[08.Mcode]" caption="08.Mcode" attribute="1" defaultMemberUniqueName="[MODEL].[08.Mcode].[All]" allUniqueName="[MODEL].[08.Mcode].[All]" dimensionUniqueName="[MODEL]" displayFolder="" count="0" memberValueDatatype="130" unbalanced="0" hidden="1"/>
    <cacheHierarchy uniqueName="[MODEL].[08.MEASURE]" caption="08.MEASURE" attribute="1" defaultMemberUniqueName="[MODEL].[08.MEASURE].[All]" allUniqueName="[MODEL].[08.MEASURE].[All]" dimensionUniqueName="[MODEL]" displayFolder="" count="0" memberValueDatatype="130" unbalanced="0" hidden="1"/>
    <cacheHierarchy uniqueName="[MODEL].[08.Mgroup]" caption="08.Mgroup" attribute="1" defaultMemberUniqueName="[MODEL].[08.Mgroup].[All]" allUniqueName="[MODEL].[08.Mgroup].[All]" dimensionUniqueName="[MODEL]" displayFolder="" count="0" memberValueDatatype="130" unbalanced="0" hidden="1"/>
    <cacheHierarchy uniqueName="[MODEL].[08.Mmeasure]" caption="08.Mmeasure" attribute="1" defaultMemberUniqueName="[MODEL].[08.Mmeasure].[All]" allUniqueName="[MODEL].[08.Mmeasure].[All]" dimensionUniqueName="[MODEL]" displayFolder="" count="0" memberValueDatatype="130" unbalanced="0" hidden="1"/>
    <cacheHierarchy uniqueName="[MODEL].[08.Mname]" caption="08.Mname" attribute="1" defaultMemberUniqueName="[MODEL].[08.Mname].[All]" allUniqueName="[MODEL].[08.Mname].[All]" dimensionUniqueName="[MODEL]" displayFolder="" count="0" memberValueDatatype="130" unbalanced="0" hidden="1"/>
    <cacheHierarchy uniqueName="[MODEL].[08.Mqty]" caption="08.Mqty" attribute="1" defaultMemberUniqueName="[MODEL].[08.Mqty].[All]" allUniqueName="[MODEL].[08.Mqty].[All]" dimensionUniqueName="[MODEL]" displayFolder="" count="0" memberValueDatatype="5" unbalanced="0" hidden="1"/>
    <cacheHierarchy uniqueName="[MODEL].[08.Mtype]" caption="08.Mtype" attribute="1" defaultMemberUniqueName="[MODEL].[08.Mtype].[All]" allUniqueName="[MODEL].[08.Mtype].[All]" dimensionUniqueName="[MODEL]" displayFolder="" count="0" memberValueDatatype="130" unbalanced="0" hidden="1"/>
    <cacheHierarchy uniqueName="[MODEL].[08.NAME]" caption="08.NAME" attribute="1" defaultMemberUniqueName="[MODEL].[08.NAME].[All]" allUniqueName="[MODEL].[08.NAME].[All]" dimensionUniqueName="[MODEL]" displayFolder="" count="0" memberValueDatatype="130" unbalanced="0" hidden="1"/>
    <cacheHierarchy uniqueName="[MODEL].[08.QTY]" caption="08.QTY" attribute="1" defaultMemberUniqueName="[MODEL].[08.QTY].[All]" allUniqueName="[MODEL].[08.QTY].[All]" dimensionUniqueName="[MODEL]" displayFolder="" count="0" memberValueDatatype="5" unbalanced="0" hidden="1"/>
    <cacheHierarchy uniqueName="[MODEL].[08.STAGE]" caption="08.STAGE" attribute="1" defaultMemberUniqueName="[MODEL].[08.STAGE].[All]" allUniqueName="[MODEL].[08.STAGE].[All]" dimensionUniqueName="[MODEL]" displayFolder="" count="0" memberValueDatatype="130" unbalanced="0" hidden="1"/>
    <cacheHierarchy uniqueName="[MODEL].[08.TW]" caption="08.TW" attribute="1" defaultMemberUniqueName="[MODEL].[08.TW].[All]" allUniqueName="[MODEL].[08.TW].[All]" dimensionUniqueName="[MODEL]" displayFolder="" count="0" memberValueDatatype="130" unbalanced="0" hidden="1"/>
    <cacheHierarchy uniqueName="[MODEL].[08.TYPE]" caption="08.TYPE" attribute="1" defaultMemberUniqueName="[MODEL].[08.TYPE].[All]" allUniqueName="[MODEL].[08.TYPE].[All]" dimensionUniqueName="[MODEL]" displayFolder="" count="0" memberValueDatatype="130" unbalanced="0" hidden="1"/>
    <cacheHierarchy uniqueName="[MODEL].[DATE (Month Index)]" caption="DATE (Month Index)" attribute="1" defaultMemberUniqueName="[MODEL].[DATE (Month Index)].[All]" allUniqueName="[MODEL].[DATE (Month Index)].[All]" dimensionUniqueName="[MODEL]" displayFolder="" count="0" memberValueDatatype="20" unbalanced="0" hidden="1"/>
    <cacheHierarchy uniqueName="[MODEL].[LE in kg]" caption="LE in kg" attribute="1" defaultMemberUniqueName="[MODEL].[LE in kg].[All]" allUniqueName="[MODEL].[LE in kg].[All]" dimensionUniqueName="[MODEL]" displayFolder="" count="0" memberValueDatatype="130" unbalanced="0" hidden="1"/>
    <cacheHierarchy uniqueName="[MODEL].[Mcode]" caption="Mcode" attribute="1" defaultMemberUniqueName="[MODEL].[Mcode].[All]" allUniqueName="[MODEL].[Mcode].[All]" dimensionUniqueName="[MODEL]" displayFolder="" count="0" memberValueDatatype="130" unbalanced="0" hidden="1"/>
    <cacheHierarchy uniqueName="[MODEL].[Merged]" caption="Merged" attribute="1" defaultMemberUniqueName="[MODEL].[Merged].[All]" allUniqueName="[MODEL].[Merged].[All]" dimensionUniqueName="[MODEL]" displayFolder="" count="0" memberValueDatatype="130" unbalanced="0" hidden="1"/>
    <cacheHierarchy uniqueName="[MODEL].[Mgroup]" caption="Mgroup" attribute="1" defaultMemberUniqueName="[MODEL].[Mgroup].[All]" allUniqueName="[MODEL].[Mgroup].[All]" dimensionUniqueName="[MODEL]" displayFolder="" count="0" memberValueDatatype="130" unbalanced="0" hidden="1"/>
    <cacheHierarchy uniqueName="[MODEL].[Mmeasure]" caption="Mmeasure" attribute="1" defaultMemberUniqueName="[MODEL].[Mmeasure].[All]" allUniqueName="[MODEL].[Mmeasure].[All]" dimensionUniqueName="[MODEL]" displayFolder="" count="0" memberValueDatatype="130" unbalanced="0" hidden="1"/>
    <cacheHierarchy uniqueName="[MODEL].[Mname]" caption="Mname" attribute="1" defaultMemberUniqueName="[MODEL].[Mname].[All]" allUniqueName="[MODEL].[Mname].[All]" dimensionUniqueName="[MODEL]" displayFolder="" count="0" memberValueDatatype="130" unbalanced="0" hidden="1"/>
    <cacheHierarchy uniqueName="[MODEL].[Mqty]" caption="Mqty" attribute="1" defaultMemberUniqueName="[MODEL].[Mqty].[All]" allUniqueName="[MODEL].[Mqty].[All]" dimensionUniqueName="[MODEL]" displayFolder="" count="0" memberValueDatatype="5" unbalanced="0" hidden="1"/>
    <cacheHierarchy uniqueName="[MODEL].[Mtype]" caption="Mtype" attribute="1" defaultMemberUniqueName="[MODEL].[Mtype].[All]" allUniqueName="[MODEL].[Mtype].[All]" dimensionUniqueName="[MODEL]" displayFolder="" count="0" memberValueDatatype="130" unbalanced="0" hidden="1"/>
    <cacheHierarchy uniqueName="[MODEL].[TW]" caption="TW" attribute="1" defaultMemberUniqueName="[MODEL].[TW].[All]" allUniqueName="[MODEL].[TW].[All]" dimensionUniqueName="[MODEL]" displayFolder="" count="0" memberValueDatatype="130" unbalanced="0" hidden="1"/>
    <cacheHierarchy uniqueName="[OPEX_Budget].[DATE (Month Index)]" caption="DATE (Month Index)" attribute="1" defaultMemberUniqueName="[OPEX_Budget].[DATE (Month Index)].[All]" allUniqueName="[OPEX_Budget].[DATE (Month Index)].[All]" dimensionUniqueName="[OPEX_Budget]" displayFolder="" count="0" memberValueDatatype="20" unbalanced="0" hidden="1"/>
    <cacheHierarchy uniqueName="[SALES].[DATE (Month Index)]" caption="DATE (Month Index)" attribute="1" defaultMemberUniqueName="[SALES].[DATE (Month Index)].[All]" allUniqueName="[SALES].[DATE (Month Index)].[All]" dimensionUniqueName="[SALES]" displayFolder="" count="0" memberValueDatatype="20" unbalanced="0" hidden="1"/>
    <cacheHierarchy uniqueName="[Measures].[Sum of c_Mqty]" caption="Sum of c_Mqty" measure="1" displayFolder="" measureGroup="MODEL" count="0">
      <extLst>
        <ext xmlns:x15="http://schemas.microsoft.com/office/spreadsheetml/2010/11/main" uri="{B97F6D7D-B522-45F9-BDA1-12C45D357490}">
          <x15:cacheHierarchy aggregatedColumn="44"/>
        </ext>
      </extLst>
    </cacheHierarchy>
    <cacheHierarchy uniqueName="[Measures].[Sum of c_Mcost (EUR)]" caption="Sum of c_Mcost (EUR)" measure="1" displayFolder="" measureGroup="MODEL" count="0">
      <extLst>
        <ext xmlns:x15="http://schemas.microsoft.com/office/spreadsheetml/2010/11/main" uri="{B97F6D7D-B522-45F9-BDA1-12C45D357490}">
          <x15:cacheHierarchy aggregatedColumn="47"/>
        </ext>
      </extLst>
    </cacheHierarchy>
    <cacheHierarchy uniqueName="[Measures].[Sum of c_PLATEqty]" caption="Sum of c_PLATEqty" measure="1" displayFolder="" measureGroup="MODEL" count="0">
      <extLst>
        <ext xmlns:x15="http://schemas.microsoft.com/office/spreadsheetml/2010/11/main" uri="{B97F6D7D-B522-45F9-BDA1-12C45D357490}">
          <x15:cacheHierarchy aggregatedColumn="49"/>
        </ext>
      </extLst>
    </cacheHierarchy>
    <cacheHierarchy uniqueName="[Measures].[Sum of VOLUME]" caption="Sum of VOLUME" measure="1" displayFolder="" measureGroup="SALES" count="0">
      <extLst>
        <ext xmlns:x15="http://schemas.microsoft.com/office/spreadsheetml/2010/11/main" uri="{B97F6D7D-B522-45F9-BDA1-12C45D357490}">
          <x15:cacheHierarchy aggregatedColumn="128"/>
        </ext>
      </extLst>
    </cacheHierarchy>
    <cacheHierarchy uniqueName="[Measures].[Sum of c_LE in kg]" caption="Sum of c_LE in kg" measure="1" displayFolder="" measureGroup="MODEL" count="0">
      <extLst>
        <ext xmlns:x15="http://schemas.microsoft.com/office/spreadsheetml/2010/11/main" uri="{B97F6D7D-B522-45F9-BDA1-12C45D357490}">
          <x15:cacheHierarchy aggregatedColumn="45"/>
        </ext>
      </extLst>
    </cacheHierarchy>
    <cacheHierarchy uniqueName="[Measures].[Sum of COST before D&amp;A (EUR/KG)]" caption="Sum of COST before D&amp;A (EUR/KG)" measure="1" displayFolder="" measureGroup="LeadAlloy_COST_load" count="0">
      <extLst>
        <ext xmlns:x15="http://schemas.microsoft.com/office/spreadsheetml/2010/11/main" uri="{B97F6D7D-B522-45F9-BDA1-12C45D357490}">
          <x15:cacheHierarchy aggregatedColumn="15"/>
        </ext>
      </extLst>
    </cacheHierarchy>
    <cacheHierarchy uniqueName="[Measures].[Sum of PRICE (EUR/KG)]" caption="Sum of PRICE (EUR/KG)" measure="1" displayFolder="" measureGroup="LeadAlloy_COST_load" count="0">
      <extLst>
        <ext xmlns:x15="http://schemas.microsoft.com/office/spreadsheetml/2010/11/main" uri="{B97F6D7D-B522-45F9-BDA1-12C45D357490}">
          <x15:cacheHierarchy aggregatedColumn="17"/>
        </ext>
      </extLst>
    </cacheHierarchy>
    <cacheHierarchy uniqueName="[Measures].[Sum of D&amp;A COST (EUR/KG)]" caption="Sum of D&amp;A COST (EUR/KG)" measure="1" displayFolder="" measureGroup="LeadAlloy_COST_load" count="0">
      <extLst>
        <ext xmlns:x15="http://schemas.microsoft.com/office/spreadsheetml/2010/11/main" uri="{B97F6D7D-B522-45F9-BDA1-12C45D357490}">
          <x15:cacheHierarchy aggregatedColumn="16"/>
        </ext>
      </extLst>
    </cacheHierarchy>
    <cacheHierarchy uniqueName="[Measures].[Average of c_Mcost (EUR)]" caption="Average of c_Mcost (EUR)" measure="1" displayFolder="" measureGroup="MODEL" count="0">
      <extLst>
        <ext xmlns:x15="http://schemas.microsoft.com/office/spreadsheetml/2010/11/main" uri="{B97F6D7D-B522-45F9-BDA1-12C45D357490}">
          <x15:cacheHierarchy aggregatedColumn="47"/>
        </ext>
      </extLst>
    </cacheHierarchy>
    <cacheHierarchy uniqueName="[Measures].[Sum of c_TWcost (EUR)]" caption="Sum of c_TWcost (EUR)" measure="1" displayFolder="" measureGroup="MODEL" count="0">
      <extLst>
        <ext xmlns:x15="http://schemas.microsoft.com/office/spreadsheetml/2010/11/main" uri="{B97F6D7D-B522-45F9-BDA1-12C45D357490}">
          <x15:cacheHierarchy aggregatedColumn="61"/>
        </ext>
      </extLst>
    </cacheHierarchy>
    <cacheHierarchy uniqueName="[Measures].[Sum of c_DIRECT COST (EUR)]" caption="Sum of c_DIRECT COST (EUR)" measure="1" displayFolder="" measureGroup="MODEL" count="0">
      <extLst>
        <ext xmlns:x15="http://schemas.microsoft.com/office/spreadsheetml/2010/11/main" uri="{B97F6D7D-B522-45F9-BDA1-12C45D357490}">
          <x15:cacheHierarchy aggregatedColumn="62"/>
        </ext>
      </extLst>
    </cacheHierarchy>
    <cacheHierarchy uniqueName="[Measures].[Sum of cr_IndirectCost - Electricity (EUR)]" caption="Sum of cr_IndirectCost - Electricity (EUR)" measure="1" displayFolder="" measureGroup="MODEL" count="0">
      <extLst>
        <ext xmlns:x15="http://schemas.microsoft.com/office/spreadsheetml/2010/11/main" uri="{B97F6D7D-B522-45F9-BDA1-12C45D357490}">
          <x15:cacheHierarchy aggregatedColumn="65"/>
        </ext>
      </extLst>
    </cacheHierarchy>
    <cacheHierarchy uniqueName="[Measures].[Sum of cr_IndirectCost - Gas (EUR)]" caption="Sum of cr_IndirectCost - Gas (EUR)" measure="1" displayFolder="" measureGroup="MODEL" count="0">
      <extLst>
        <ext xmlns:x15="http://schemas.microsoft.com/office/spreadsheetml/2010/11/main" uri="{B97F6D7D-B522-45F9-BDA1-12C45D357490}">
          <x15:cacheHierarchy aggregatedColumn="66"/>
        </ext>
      </extLst>
    </cacheHierarchy>
    <cacheHierarchy uniqueName="[Measures].[Sum of cr_IndirectCost - Water (EUR)]" caption="Sum of cr_IndirectCost - Water (EUR)" measure="1" displayFolder="" measureGroup="MODEL" count="0">
      <extLst>
        <ext xmlns:x15="http://schemas.microsoft.com/office/spreadsheetml/2010/11/main" uri="{B97F6D7D-B522-45F9-BDA1-12C45D357490}">
          <x15:cacheHierarchy aggregatedColumn="67"/>
        </ext>
      </extLst>
    </cacheHierarchy>
    <cacheHierarchy uniqueName="[Measures].[Sum of cr_IndirectCost - Labour (EUR)]" caption="Sum of cr_IndirectCost - Labour (EUR)" measure="1" displayFolder="" measureGroup="MODEL" count="0">
      <extLst>
        <ext xmlns:x15="http://schemas.microsoft.com/office/spreadsheetml/2010/11/main" uri="{B97F6D7D-B522-45F9-BDA1-12C45D357490}">
          <x15:cacheHierarchy aggregatedColumn="76"/>
        </ext>
      </extLst>
    </cacheHierarchy>
    <cacheHierarchy uniqueName="[Measures].[Sum of cr_IndirectCost - Quality (EUR)]" caption="Sum of cr_IndirectCost - Quality (EUR)" measure="1" displayFolder="" measureGroup="MODEL" count="0">
      <extLst>
        <ext xmlns:x15="http://schemas.microsoft.com/office/spreadsheetml/2010/11/main" uri="{B97F6D7D-B522-45F9-BDA1-12C45D357490}">
          <x15:cacheHierarchy aggregatedColumn="68"/>
        </ext>
      </extLst>
    </cacheHierarchy>
    <cacheHierarchy uniqueName="[Measures].[Sum of cr_IndirectCost - Maintenance (EUR)]" caption="Sum of cr_IndirectCost - Maintenance (EUR)" measure="1" displayFolder="" measureGroup="MODEL" count="0">
      <extLst>
        <ext xmlns:x15="http://schemas.microsoft.com/office/spreadsheetml/2010/11/main" uri="{B97F6D7D-B522-45F9-BDA1-12C45D357490}">
          <x15:cacheHierarchy aggregatedColumn="69"/>
        </ext>
      </extLst>
    </cacheHierarchy>
    <cacheHierarchy uniqueName="[Measures].[Sum of cr_IndirectCost - Logistic (EUR)]" caption="Sum of cr_IndirectCost - Logistic (EUR)" measure="1" displayFolder="" measureGroup="MODEL" count="0">
      <extLst>
        <ext xmlns:x15="http://schemas.microsoft.com/office/spreadsheetml/2010/11/main" uri="{B97F6D7D-B522-45F9-BDA1-12C45D357490}">
          <x15:cacheHierarchy aggregatedColumn="70"/>
        </ext>
      </extLst>
    </cacheHierarchy>
    <cacheHierarchy uniqueName="[Measures].[Sum of cr_IndirectCost - Other (EUR)]" caption="Sum of cr_IndirectCost - Other (EUR)" measure="1" displayFolder="" measureGroup="MODEL" count="0">
      <extLst>
        <ext xmlns:x15="http://schemas.microsoft.com/office/spreadsheetml/2010/11/main" uri="{B97F6D7D-B522-45F9-BDA1-12C45D357490}">
          <x15:cacheHierarchy aggregatedColumn="71"/>
        </ext>
      </extLst>
    </cacheHierarchy>
    <cacheHierarchy uniqueName="[Measures].[Sum of c_INDIRECT COST before D&amp;A (EUR)]" caption="Sum of c_INDIRECT COST before D&amp;A (EUR)" measure="1" displayFolder="" measureGroup="MODEL" count="0">
      <extLst>
        <ext xmlns:x15="http://schemas.microsoft.com/office/spreadsheetml/2010/11/main" uri="{B97F6D7D-B522-45F9-BDA1-12C45D357490}">
          <x15:cacheHierarchy aggregatedColumn="73"/>
        </ext>
      </extLst>
    </cacheHierarchy>
    <cacheHierarchy uniqueName="[Measures].[Sum of c_COST before D&amp;A (EUR)]" caption="Sum of c_COST before D&amp;A (EUR)" measure="1" displayFolder="" measureGroup="MODEL" count="0">
      <extLst>
        <ext xmlns:x15="http://schemas.microsoft.com/office/spreadsheetml/2010/11/main" uri="{B97F6D7D-B522-45F9-BDA1-12C45D357490}">
          <x15:cacheHierarchy aggregatedColumn="74"/>
        </ext>
      </extLst>
    </cacheHierarchy>
    <cacheHierarchy uniqueName="[Measures].[Sum of cr_IndirectCost - D&amp;A (EUR)]" caption="Sum of cr_IndirectCost - D&amp;A (EUR)" measure="1" displayFolder="" measureGroup="MODEL" count="0">
      <extLst>
        <ext xmlns:x15="http://schemas.microsoft.com/office/spreadsheetml/2010/11/main" uri="{B97F6D7D-B522-45F9-BDA1-12C45D357490}">
          <x15:cacheHierarchy aggregatedColumn="72"/>
        </ext>
      </extLst>
    </cacheHierarchy>
    <cacheHierarchy uniqueName="[Measures].[Sum of c_COST (EUR)]" caption="Sum of c_COST (EUR)" measure="1" displayFolder="" measureGroup="MODEL" count="0">
      <extLst>
        <ext xmlns:x15="http://schemas.microsoft.com/office/spreadsheetml/2010/11/main" uri="{B97F6D7D-B522-45F9-BDA1-12C45D357490}">
          <x15:cacheHierarchy aggregatedColumn="75"/>
        </ext>
      </extLst>
    </cacheHierarchy>
    <cacheHierarchy uniqueName="[Measures].[Sum of c_RM COST MGS (EUR)]" caption="Sum of c_RM COST MGS (EUR)" measure="1" displayFolder="" measureGroup="MODEL" count="0">
      <extLst>
        <ext xmlns:x15="http://schemas.microsoft.com/office/spreadsheetml/2010/11/main" uri="{B97F6D7D-B522-45F9-BDA1-12C45D357490}">
          <x15:cacheHierarchy aggregatedColumn="81"/>
        </ext>
      </extLst>
    </cacheHierarchy>
    <cacheHierarchy uniqueName="[Measures].[Sum of TND to EUR]" caption="Sum of TND to EUR" measure="1" displayFolder="" measureGroup="FX" count="0">
      <extLst>
        <ext xmlns:x15="http://schemas.microsoft.com/office/spreadsheetml/2010/11/main" uri="{B97F6D7D-B522-45F9-BDA1-12C45D357490}">
          <x15:cacheHierarchy aggregatedColumn="6"/>
        </ext>
      </extLst>
    </cacheHierarchy>
    <cacheHierarchy uniqueName="[Measures].[Sum of c_TWqty]" caption="Sum of c_TWqty" measure="1" displayFolder="" measureGroup="MODEL" count="0">
      <extLst>
        <ext xmlns:x15="http://schemas.microsoft.com/office/spreadsheetml/2010/11/main" uri="{B97F6D7D-B522-45F9-BDA1-12C45D357490}">
          <x15:cacheHierarchy aggregatedColumn="58"/>
        </ext>
      </extLst>
    </cacheHierarchy>
    <cacheHierarchy uniqueName="[Measures].[Sum of MAINTENANCE]" caption="Sum of MAINTENANCE" measure="1" displayFolder="" measureGroup="PRODUCTION_COST" count="0">
      <extLst>
        <ext xmlns:x15="http://schemas.microsoft.com/office/spreadsheetml/2010/11/main" uri="{B97F6D7D-B522-45F9-BDA1-12C45D357490}">
          <x15:cacheHierarchy aggregatedColumn="111"/>
        </ext>
      </extLst>
    </cacheHierarchy>
    <cacheHierarchy uniqueName="[Measures].[Sum of QUALITY]" caption="Sum of QUALITY" measure="1" displayFolder="" measureGroup="PRODUCTION_COST" count="0">
      <extLst>
        <ext xmlns:x15="http://schemas.microsoft.com/office/spreadsheetml/2010/11/main" uri="{B97F6D7D-B522-45F9-BDA1-12C45D357490}">
          <x15:cacheHierarchy aggregatedColumn="110"/>
        </ext>
      </extLst>
    </cacheHierarchy>
    <cacheHierarchy uniqueName="[Measures].[Sum of LOGISTIC]" caption="Sum of LOGISTIC" measure="1" displayFolder="" measureGroup="PRODUCTION_COST" count="0">
      <extLst>
        <ext xmlns:x15="http://schemas.microsoft.com/office/spreadsheetml/2010/11/main" uri="{B97F6D7D-B522-45F9-BDA1-12C45D357490}">
          <x15:cacheHierarchy aggregatedColumn="112"/>
        </ext>
      </extLst>
    </cacheHierarchy>
    <cacheHierarchy uniqueName="[Measures].[Sum of ELECTRICITY]" caption="Sum of ELECTRICITY" measure="1" displayFolder="" measureGroup="PRODUCTION_COST" count="0">
      <extLst>
        <ext xmlns:x15="http://schemas.microsoft.com/office/spreadsheetml/2010/11/main" uri="{B97F6D7D-B522-45F9-BDA1-12C45D357490}">
          <x15:cacheHierarchy aggregatedColumn="113"/>
        </ext>
      </extLst>
    </cacheHierarchy>
    <cacheHierarchy uniqueName="[Measures].[Sum of GAS]" caption="Sum of GAS" measure="1" displayFolder="" measureGroup="PRODUCTION_COST" count="0">
      <extLst>
        <ext xmlns:x15="http://schemas.microsoft.com/office/spreadsheetml/2010/11/main" uri="{B97F6D7D-B522-45F9-BDA1-12C45D357490}">
          <x15:cacheHierarchy aggregatedColumn="114"/>
        </ext>
      </extLst>
    </cacheHierarchy>
    <cacheHierarchy uniqueName="[Measures].[Sum of WATER]" caption="Sum of WATER" measure="1" displayFolder="" measureGroup="PRODUCTION_COST" count="0">
      <extLst>
        <ext xmlns:x15="http://schemas.microsoft.com/office/spreadsheetml/2010/11/main" uri="{B97F6D7D-B522-45F9-BDA1-12C45D357490}">
          <x15:cacheHierarchy aggregatedColumn="115"/>
        </ext>
      </extLst>
    </cacheHierarchy>
    <cacheHierarchy uniqueName="[Measures].[Sum of D&amp;A]" caption="Sum of D&amp;A" measure="1" displayFolder="" measureGroup="PRODUCTION_COST" count="0">
      <extLst>
        <ext xmlns:x15="http://schemas.microsoft.com/office/spreadsheetml/2010/11/main" uri="{B97F6D7D-B522-45F9-BDA1-12C45D357490}">
          <x15:cacheHierarchy aggregatedColumn="116"/>
        </ext>
      </extLst>
    </cacheHierarchy>
    <cacheHierarchy uniqueName="[Measures].[Sum of OTHER]" caption="Sum of OTHER" measure="1" displayFolder="" measureGroup="PRODUCTION_COST" count="0">
      <extLst>
        <ext xmlns:x15="http://schemas.microsoft.com/office/spreadsheetml/2010/11/main" uri="{B97F6D7D-B522-45F9-BDA1-12C45D357490}">
          <x15:cacheHierarchy aggregatedColumn="117"/>
        </ext>
      </extLst>
    </cacheHierarchy>
    <cacheHierarchy uniqueName="[Measures].[Sum of LABOUR]" caption="Sum of LABOUR" measure="1" displayFolder="" measureGroup="PRODUCTION_COST" count="0">
      <extLst>
        <ext xmlns:x15="http://schemas.microsoft.com/office/spreadsheetml/2010/11/main" uri="{B97F6D7D-B522-45F9-BDA1-12C45D357490}">
          <x15:cacheHierarchy aggregatedColumn="118"/>
        </ext>
      </extLst>
    </cacheHierarchy>
    <cacheHierarchy uniqueName="[Measures].[Sum of PRODUCTION COST per LE (TND)]" caption="Sum of PRODUCTION COST per LE (TND)" measure="1" displayFolder="" measureGroup="FIXED_DA_COSTperLE" count="0">
      <extLst>
        <ext xmlns:x15="http://schemas.microsoft.com/office/spreadsheetml/2010/11/main" uri="{B97F6D7D-B522-45F9-BDA1-12C45D357490}">
          <x15:cacheHierarchy aggregatedColumn="2"/>
        </ext>
      </extLst>
    </cacheHierarchy>
    <cacheHierarchy uniqueName="[Measures].[Sum of OPEX]" caption="Sum of OPEX" measure="1" displayFolder="" measureGroup="FIXED_LABOUR_COSTperLE" count="0">
      <extLst>
        <ext xmlns:x15="http://schemas.microsoft.com/office/spreadsheetml/2010/11/main" uri="{B97F6D7D-B522-45F9-BDA1-12C45D357490}">
          <x15:cacheHierarchy aggregatedColumn="4"/>
        </ext>
      </extLst>
    </cacheHierarchy>
    <cacheHierarchy uniqueName="[Measures].[Sum of AMOUNT (TND)]" caption="Sum of AMOUNT (TND)" measure="1" displayFolder="" measureGroup="OPEX_Budget" count="0">
      <extLst>
        <ext xmlns:x15="http://schemas.microsoft.com/office/spreadsheetml/2010/11/main" uri="{B97F6D7D-B522-45F9-BDA1-12C45D357490}">
          <x15:cacheHierarchy aggregatedColumn="106"/>
        </ext>
      </extLst>
    </cacheHierarchy>
    <cacheHierarchy uniqueName="[Measures].[Count of MARKET]" caption="Count of MARKET" measure="1" displayFolder="" measureGroup="SALES" count="0">
      <extLst>
        <ext xmlns:x15="http://schemas.microsoft.com/office/spreadsheetml/2010/11/main" uri="{B97F6D7D-B522-45F9-BDA1-12C45D357490}">
          <x15:cacheHierarchy aggregatedColumn="130"/>
        </ext>
      </extLst>
    </cacheHierarchy>
    <cacheHierarchy uniqueName="[Measures].[Sum of c_SALES VOLUME]" caption="Sum of c_SALES VOLUME" measure="1" displayFolder="" measureGroup="MODEL" count="0">
      <extLst>
        <ext xmlns:x15="http://schemas.microsoft.com/office/spreadsheetml/2010/11/main" uri="{B97F6D7D-B522-45F9-BDA1-12C45D357490}">
          <x15:cacheHierarchy aggregatedColumn="50"/>
        </ext>
      </extLst>
    </cacheHierarchy>
    <cacheHierarchy uniqueName="[Measures].[BT_COST bofere D&amp;A]" caption="BT_COST bofere D&amp;A" measure="1" displayFolder="" measureGroup="SALES" count="0"/>
    <cacheHierarchy uniqueName="[Measures].[m_FG_VOLUME]" caption="m_FG_VOLUME" measure="1" displayFolder="" measureGroup="SALES" count="0" oneField="1">
      <fieldsUsage count="1">
        <fieldUsage x="3"/>
      </fieldsUsage>
    </cacheHierarchy>
    <cacheHierarchy uniqueName="[Measures].[m_FG_SALES]" caption="m_FG_SALES" measure="1" displayFolder="" measureGroup="SALES" count="0" oneField="1">
      <fieldsUsage count="1">
        <fieldUsage x="6"/>
      </fieldsUsage>
    </cacheHierarchy>
    <cacheHierarchy uniqueName="[Measures].[m_FG_av.PRICE]" caption="m_FG_av.PRICE" measure="1" displayFolder="" measureGroup="SALES" count="0" oneField="1">
      <fieldsUsage count="1">
        <fieldUsage x="7"/>
      </fieldsUsage>
    </cacheHierarchy>
    <cacheHierarchy uniqueName="[Measures].[m_FG_COST before D&amp;A]" caption="m_FG_COST before D&amp;A" measure="1" displayFolder="" measureGroup="SALES" count="0"/>
    <cacheHierarchy uniqueName="[Measures].[m_FG_av.COST before D&amp;A]" caption="m_FG_av.COST before D&amp;A" measure="1" displayFolder="" measureGroup="SALES" count="0"/>
    <cacheHierarchy uniqueName="[Measures].[m_SALES_VOLUME]" caption="m_SALES_VOLUME" measure="1" displayFolder="" measureGroup="MODEL" count="0"/>
    <cacheHierarchy uniqueName="[Measures].[m_TOTAL Mqty]" caption="m_TOTAL Mqty" measure="1" displayFolder="" measureGroup="MODEL" count="0"/>
    <cacheHierarchy uniqueName="[Measures].[BT_LE in kg]" caption="BT_LE in kg" measure="1" displayFolder="" measureGroup="SALES" count="0"/>
    <cacheHierarchy uniqueName="[Measures].[m_FG_LE (kg)]" caption="m_FG_LE (kg)" measure="1" displayFolder="" measureGroup="SALES" count="0"/>
    <cacheHierarchy uniqueName="[Measures].[m_FG_av.LE (kg)]" caption="m_FG_av.LE (kg)" measure="1" displayFolder="" measureGroup="SALES" count="0"/>
    <cacheHierarchy uniqueName="[Measures].[m_av.Mqty]" caption="m_av.Mqty" measure="1" displayFolder="" measureGroup="MODEL" count="0"/>
    <cacheHierarchy uniqueName="[Measures].[m_TOTAL LE in kg]" caption="m_TOTAL LE in kg" measure="1" displayFolder="" measureGroup="MODEL" count="0"/>
    <cacheHierarchy uniqueName="[Measures].[m_av.LE in kg]" caption="m_av.LE in kg" measure="1" displayFolder="" measureGroup="MODEL" count="0"/>
    <cacheHierarchy uniqueName="[Measures].[m_SALES_VOLUME (FG)]" caption="m_SALES_VOLUME (FG)" measure="1" displayFolder="" measureGroup="MODEL" count="0"/>
    <cacheHierarchy uniqueName="[Measures].[m_TOTAL Mqty (FG)]" caption="m_TOTAL Mqty (FG)" measure="1" displayFolder="" measureGroup="MODEL" count="0"/>
    <cacheHierarchy uniqueName="[Measures].[m_av.Mqty (FG)]" caption="m_av.Mqty (FG)" measure="1" displayFolder="" measureGroup="MODEL" count="0"/>
    <cacheHierarchy uniqueName="[Measures].[m_TOTAL LE in kg (FG)]" caption="m_TOTAL LE in kg (FG)" measure="1" displayFolder="" measureGroup="MODEL" count="0"/>
    <cacheHierarchy uniqueName="[Measures].[m_av.LE in kg (FG)]" caption="m_av.LE in kg (FG)" measure="1" displayFolder="" measureGroup="MODEL" count="0"/>
    <cacheHierarchy uniqueName="[Measures].[m_FG_av.PRICE per LE]" caption="m_FG_av.PRICE per LE" measure="1" displayFolder="" measureGroup="SALES" count="0"/>
    <cacheHierarchy uniqueName="[Measures].[m_FG_av.COST before D&amp;A per LE]" caption="m_FG_av.COST before D&amp;A per LE" measure="1" displayFolder="" measureGroup="SALES" count="0"/>
    <cacheHierarchy uniqueName="[Measures].[m_FG_TNC before D&amp;A]" caption="m_FG_TNC before D&amp;A" measure="1" displayFolder="" measureGroup="SALES" count="0"/>
    <cacheHierarchy uniqueName="[Measures].[m_FG_av.NC before D&amp;A]" caption="m_FG_av.NC before D&amp;A" measure="1" displayFolder="" measureGroup="SALES" count="0"/>
    <cacheHierarchy uniqueName="[Measures].[m_FG_av.NC before D&amp;A per LE]" caption="m_FG_av.NC before D&amp;A per LE" measure="1" displayFolder="" measureGroup="SALES" count="0"/>
    <cacheHierarchy uniqueName="[Measures].[m_FG_av.NC before D&amp;A %]" caption="m_FG_av.NC before D&amp;A %" measure="1" displayFolder="" measureGroup="SALES" count="0"/>
    <cacheHierarchy uniqueName="[Measures].[BT_LA COST before D&amp;A]" caption="BT_LA COST before D&amp;A" measure="1" displayFolder="" measureGroup="SALES" count="0"/>
    <cacheHierarchy uniqueName="[Measures].[BT_LA SALES]" caption="BT_LA SALES" measure="1" displayFolder="" measureGroup="SALES" count="0"/>
    <cacheHierarchy uniqueName="[Measures].[m_LA_SALES]" caption="m_LA_SALES" measure="1" displayFolder="" measureGroup="SALES" count="0"/>
    <cacheHierarchy uniqueName="[Measures].[m_LA_COST before D&amp;A]" caption="m_LA_COST before D&amp;A" measure="1" displayFolder="" measureGroup="SALES" count="0"/>
    <cacheHierarchy uniqueName="[Measures].[m_LA_TNC before D&amp;A]" caption="m_LA_TNC before D&amp;A" measure="1" displayFolder="" measureGroup="SALES" count="0"/>
    <cacheHierarchy uniqueName="[Measures].[m_LA_av.PRICE per LE]" caption="m_LA_av.PRICE per LE" measure="1" displayFolder="" measureGroup="SALES" count="0"/>
    <cacheHierarchy uniqueName="[Measures].[m_LA_av.COST before D&amp;A per LE]" caption="m_LA_av.COST before D&amp;A per LE" measure="1" displayFolder="" measureGroup="SALES" count="0"/>
    <cacheHierarchy uniqueName="[Measures].[m_LA_av.NC before D&amp;A per LE]" caption="m_LA_av.NC before D&amp;A per LE" measure="1" displayFolder="" measureGroup="SALES" count="0"/>
    <cacheHierarchy uniqueName="[Measures].[m_TOTAL LE in kg Required]" caption="m_TOTAL LE in kg Required" measure="1" displayFolder="" measureGroup="MODEL" count="0"/>
    <cacheHierarchy uniqueName="[Measures].[m_TOTAL LE in kg TW]" caption="m_TOTAL LE in kg TW" measure="1" displayFolder="" measureGroup="MODEL" count="0"/>
    <cacheHierarchy uniqueName="[Measures].[m_TOTAL LE in kg TW (FG)]" caption="m_TOTAL LE in kg TW (FG)" measure="1" displayFolder="" measureGroup="MODEL" count="0"/>
    <cacheHierarchy uniqueName="[Measures].[m_av.LE in kg TW (FG)]" caption="m_av.LE in kg TW (FG)" measure="1" displayFolder="" measureGroup="MODEL" count="0"/>
    <cacheHierarchy uniqueName="[Measures].[m_av.LE in kg TW]" caption="m_av.LE in kg TW" measure="1" displayFolder="" measureGroup="MODEL" count="0"/>
    <cacheHierarchy uniqueName="[Measures].[m_TOTAL LE in kg Required (FG)]" caption="m_TOTAL LE in kg Required (FG)" measure="1" displayFolder="" measureGroup="MODEL" count="0"/>
    <cacheHierarchy uniqueName="[Measures].[m_TOTAL TWqty]" caption="m_TOTAL TWqty" measure="1" displayFolder="" measureGroup="MODEL" count="0"/>
    <cacheHierarchy uniqueName="[Measures].[m_TOTAL TWqty (FG)]" caption="m_TOTAL TWqty (FG)" measure="1" displayFolder="" measureGroup="MODEL" count="0"/>
    <cacheHierarchy uniqueName="[Measures].[m_TOTAL Mqty Required]" caption="m_TOTAL Mqty Required" measure="1" displayFolder="" measureGroup="MODEL" count="0"/>
    <cacheHierarchy uniqueName="[Measures].[m_TOTAL Mqty Required (FG)]" caption="m_TOTAL Mqty Required (FG)" measure="1" displayFolder="" measureGroup="MODEL" count="0"/>
    <cacheHierarchy uniqueName="[Measures].[m_av.TWqty]" caption="m_av.TWqty" measure="1" displayFolder="" measureGroup="MODEL" count="0"/>
    <cacheHierarchy uniqueName="[Measures].[m_av.TWqty (FG)]" caption="m_av.TWqty (FG)" measure="1" displayFolder="" measureGroup="MODEL" count="0"/>
    <cacheHierarchy uniqueName="[Measures].[m_LA av.NC before D&amp;A %]" caption="m_LA av.NC before D&amp;A %" measure="1" displayFolder="" measureGroup="SALES" count="0"/>
    <cacheHierarchy uniqueName="[Measures].[m_TWqty/Mqty Required (%)]" caption="m_TWqty/Mqty Required (%)" measure="1" displayFolder="" measureGroup="MODEL" count="0"/>
    <cacheHierarchy uniqueName="[Measures].[m_TOTAL LE in kg Turnover]" caption="m_TOTAL LE in kg Turnover" measure="1" displayFolder="" measureGroup="MODEL" count="0"/>
    <cacheHierarchy uniqueName="[Measures].[m_TOTAL LE in kg Turnover (FG)]" caption="m_TOTAL LE in kg Turnover (FG)" measure="1" displayFolder="" measureGroup="MODEL" count="0"/>
    <cacheHierarchy uniqueName="[Measures].[BT_COST]" caption="BT_COST" measure="1" displayFolder="" measureGroup="SALES" count="0"/>
    <cacheHierarchy uniqueName="[Measures].[BT_IndirectCost - D&amp;A]" caption="BT_IndirectCost - D&amp;A" measure="1" displayFolder="" measureGroup="SALES" count="0"/>
    <cacheHierarchy uniqueName="[Measures].[BT_DIRECT COST]" caption="BT_DIRECT COST" measure="1" displayFolder="" measureGroup="SALES" count="0"/>
    <cacheHierarchy uniqueName="[Measures].[BT_INDIRECT COST before D&amp;A]" caption="BT_INDIRECT COST before D&amp;A" measure="1" displayFolder="" measureGroup="SALES" count="0"/>
    <cacheHierarchy uniqueName="[Measures].[BT_IndirectCost - Electricity]" caption="BT_IndirectCost - Electricity" measure="1" displayFolder="" measureGroup="SALES" count="0"/>
    <cacheHierarchy uniqueName="[Measures].[BT_IndirectCost - Gas]" caption="BT_IndirectCost - Gas" measure="1" displayFolder="" measureGroup="SALES" count="0"/>
    <cacheHierarchy uniqueName="[Measures].[BT_IndirectCost - Labour (C)]" caption="BT_IndirectCost - Labour (C)" measure="1" displayFolder="" measureGroup="SALES" count="0"/>
    <cacheHierarchy uniqueName="[Measures].[BT_IndirectCost - Logistic]" caption="BT_IndirectCost - Logistic" measure="1" displayFolder="" measureGroup="SALES" count="0"/>
    <cacheHierarchy uniqueName="[Measures].[BT_IndirectCost - Maintenance]" caption="BT_IndirectCost - Maintenance" measure="1" displayFolder="" measureGroup="SALES" count="0"/>
    <cacheHierarchy uniqueName="[Measures].[BT_IndirectCost - Other]" caption="BT_IndirectCost - Other" measure="1" displayFolder="" measureGroup="SALES" count="0"/>
    <cacheHierarchy uniqueName="[Measures].[BT_IndirectCost - Quality]" caption="BT_IndirectCost - Quality" measure="1" displayFolder="" measureGroup="SALES" count="0"/>
    <cacheHierarchy uniqueName="[Measures].[BT_IndirectCost - Water]" caption="BT_IndirectCost - Water" measure="1" displayFolder="" measureGroup="SALES" count="0"/>
    <cacheHierarchy uniqueName="[Measures].[m_FG_COST]" caption="m_FG_COST" measure="1" displayFolder="" measureGroup="SALES" count="0"/>
    <cacheHierarchy uniqueName="[Measures].[m_FG_IndirectCost - D&amp;A]" caption="m_FG_IndirectCost - D&amp;A" measure="1" displayFolder="" measureGroup="SALES" count="0"/>
    <cacheHierarchy uniqueName="[Measures].[m_FG_DIRECT COST]" caption="m_FG_DIRECT COST" measure="1" displayFolder="" measureGroup="SALES" count="0"/>
    <cacheHierarchy uniqueName="[Measures].[m_FG_INDIRECT COST before D&amp;A]" caption="m_FG_INDIRECT COST before D&amp;A" measure="1" displayFolder="" measureGroup="SALES" count="0"/>
    <cacheHierarchy uniqueName="[Measures].[m_FG_IndirectCost - Electricity]" caption="m_FG_IndirectCost - Electricity" measure="1" displayFolder="" measureGroup="SALES" count="0"/>
    <cacheHierarchy uniqueName="[Measures].[m_FG_IndirectCost - Gas]" caption="m_FG_IndirectCost - Gas" measure="1" displayFolder="" measureGroup="SALES" count="0"/>
    <cacheHierarchy uniqueName="[Measures].[m_FG_IndirectCost - Labour (C)]" caption="m_FG_IndirectCost - Labour (C)" measure="1" displayFolder="" measureGroup="SALES" count="0"/>
    <cacheHierarchy uniqueName="[Measures].[m_FG_IndirectCost - Logistic]" caption="m_FG_IndirectCost - Logistic" measure="1" displayFolder="" measureGroup="SALES" count="0"/>
    <cacheHierarchy uniqueName="[Measures].[m_FG_IndirectCost - Maintenance]" caption="m_FG_IndirectCost - Maintenance" measure="1" displayFolder="" measureGroup="SALES" count="0"/>
    <cacheHierarchy uniqueName="[Measures].[m_FG_IndirectCost - Other]" caption="m_FG_IndirectCost - Other" measure="1" displayFolder="" measureGroup="SALES" count="0"/>
    <cacheHierarchy uniqueName="[Measures].[m_FG_IndirectCost - Quality]" caption="m_FG_IndirectCost - Quality" measure="1" displayFolder="" measureGroup="SALES" count="0"/>
    <cacheHierarchy uniqueName="[Measures].[m_FG_IndirectCost - Water]" caption="m_FG_IndirectCost - Water" measure="1" displayFolder="" measureGroup="SALES" count="0"/>
    <cacheHierarchy uniqueName="[Measures].[m_FG_av.IndirectCost - D&amp;A]" caption="m_FG_av.IndirectCost - D&amp;A" measure="1" displayFolder="" measureGroup="SALES" count="0"/>
    <cacheHierarchy uniqueName="[Measures].[m_FG_av.DIRECT COST]" caption="m_FG_av.DIRECT COST" measure="1" displayFolder="" measureGroup="SALES" count="0"/>
    <cacheHierarchy uniqueName="[Measures].[m_FG_av.INDIRECT COST before D&amp;A]" caption="m_FG_av.INDIRECT COST before D&amp;A" measure="1" displayFolder="" measureGroup="SALES" count="0"/>
    <cacheHierarchy uniqueName="[Measures].[m_FG_av.IndirectCost - Electricity]" caption="m_FG_av.IndirectCost - Electricity" measure="1" displayFolder="" measureGroup="SALES" count="0"/>
    <cacheHierarchy uniqueName="[Measures].[m_FG_av.IndirectCost - Gas]" caption="m_FG_av.IndirectCost - Gas" measure="1" displayFolder="" measureGroup="SALES" count="0"/>
    <cacheHierarchy uniqueName="[Measures].[m_FG_av.IndirectCost - Labour (C)]" caption="m_FG_av.IndirectCost - Labour (C)" measure="1" displayFolder="" measureGroup="SALES" count="0"/>
    <cacheHierarchy uniqueName="[Measures].[m_FG_av.IndirectCost - Logistic]" caption="m_FG_av.IndirectCost - Logistic" measure="1" displayFolder="" measureGroup="SALES" count="0"/>
    <cacheHierarchy uniqueName="[Measures].[m_FG_av.IndirectCost - Maintenance]" caption="m_FG_av.IndirectCost - Maintenance" measure="1" displayFolder="" measureGroup="SALES" count="0"/>
    <cacheHierarchy uniqueName="[Measures].[m_FG_av.IndirectCost - Other]" caption="m_FG_av.IndirectCost - Other" measure="1" displayFolder="" measureGroup="SALES" count="0"/>
    <cacheHierarchy uniqueName="[Measures].[m_FG_av.IndirectCost - Quality]" caption="m_FG_av.IndirectCost - Quality" measure="1" displayFolder="" measureGroup="SALES" count="0"/>
    <cacheHierarchy uniqueName="[Measures].[m_FG_av.IndirectCost - Water]" caption="m_FG_av.IndirectCost - Water" measure="1" displayFolder="" measureGroup="SALES" count="0"/>
    <cacheHierarchy uniqueName="[Measures].[m_FG_av.IndirectCost - D&amp;A per LE]" caption="m_FG_av.IndirectCost - D&amp;A per LE" measure="1" displayFolder="" measureGroup="SALES" count="0"/>
    <cacheHierarchy uniqueName="[Measures].[m_FG_av.DIRECT COST per LE]" caption="m_FG_av.DIRECT COST per LE" measure="1" displayFolder="" measureGroup="SALES" count="0"/>
    <cacheHierarchy uniqueName="[Measures].[m_FG_av.INDIRECT COST before D&amp;A per LE]" caption="m_FG_av.INDIRECT COST before D&amp;A per LE" measure="1" displayFolder="" measureGroup="SALES" count="0"/>
    <cacheHierarchy uniqueName="[Measures].[m_FG_av.IndirectCost - Electricity per LE]" caption="m_FG_av.IndirectCost - Electricity per LE" measure="1" displayFolder="" measureGroup="SALES" count="0"/>
    <cacheHierarchy uniqueName="[Measures].[m_FG_av.IndirectCost - Gas per LE]" caption="m_FG_av.IndirectCost - Gas per LE" measure="1" displayFolder="" measureGroup="SALES" count="0"/>
    <cacheHierarchy uniqueName="[Measures].[m_FG_av.IndirectCost - Labour (C) per LE]" caption="m_FG_av.IndirectCost - Labour (C) per LE" measure="1" displayFolder="" measureGroup="SALES" count="0"/>
    <cacheHierarchy uniqueName="[Measures].[m_FG_av.IndirectCost - Logistic per LE]" caption="m_FG_av.IndirectCost - Logistic per LE" measure="1" displayFolder="" measureGroup="SALES" count="0"/>
    <cacheHierarchy uniqueName="[Measures].[m_FG_av.IndirectCost - Maintenance per LE]" caption="m_FG_av.IndirectCost - Maintenance per LE" measure="1" displayFolder="" measureGroup="SALES" count="0"/>
    <cacheHierarchy uniqueName="[Measures].[m_FG_av.IndirectCost - Other per LE]" caption="m_FG_av.IndirectCost - Other per LE" measure="1" displayFolder="" measureGroup="SALES" count="0"/>
    <cacheHierarchy uniqueName="[Measures].[m_FG_av.IndirectCost - Quality per LE]" caption="m_FG_av.IndirectCost - Quality per LE" measure="1" displayFolder="" measureGroup="SALES" count="0"/>
    <cacheHierarchy uniqueName="[Measures].[m_FG_av.IndirectCost - Water per LE]" caption="m_FG_av.IndirectCost - Water per LE" measure="1" displayFolder="" measureGroup="SALES" count="0"/>
    <cacheHierarchy uniqueName="[Measures].[BT_Mcost]" caption="BT_Mcost" measure="1" displayFolder="" measureGroup="SALES" count="0"/>
    <cacheHierarchy uniqueName="[Measures].[BT_TWcost NET]" caption="BT_TWcost NET" measure="1" displayFolder="" measureGroup="SALES" count="0"/>
    <cacheHierarchy uniqueName="[Measures].[m_FG_Mcost]" caption="m_FG_Mcost" measure="1" displayFolder="" measureGroup="SALES" count="0"/>
    <cacheHierarchy uniqueName="[Measures].[m_FG_TWcost NET]" caption="m_FG_TWcost NET" measure="1" displayFolder="" measureGroup="SALES" count="0"/>
    <cacheHierarchy uniqueName="[Measures].[m_FG_av.Mcost]" caption="m_FG_av.Mcost" measure="1" displayFolder="" measureGroup="SALES" count="0"/>
    <cacheHierarchy uniqueName="[Measures].[m_FG_av.TWcost NET]" caption="m_FG_av.TWcost NET" measure="1" displayFolder="" measureGroup="SALES" count="0"/>
    <cacheHierarchy uniqueName="[Measures].[m_FG_av.Mcost per LE]" caption="m_FG_av.Mcost per LE" measure="1" displayFolder="" measureGroup="SALES" count="0"/>
    <cacheHierarchy uniqueName="[Measures].[m_FG_av.TWcost NET per LE]" caption="m_FG_av.TWcost NET per LE" measure="1" displayFolder="" measureGroup="SALES" count="0"/>
    <cacheHierarchy uniqueName="[Measures].[BT_DIRECT COST - LEAD]" caption="BT_DIRECT COST - LEAD" measure="1" displayFolder="" measureGroup="SALES" count="0"/>
    <cacheHierarchy uniqueName="[Measures].[m_FG_DIRECT COST - LEAD]" caption="m_FG_DIRECT COST - LEAD" measure="1" displayFolder="" measureGroup="SALES" count="0"/>
    <cacheHierarchy uniqueName="[Measures].[m_FG_av.DIRECT COST - LEAD]" caption="m_FG_av.DIRECT COST - LEAD" measure="1" displayFolder="" measureGroup="SALES" count="0"/>
    <cacheHierarchy uniqueName="[Measures].[m_FG_av.DIRECT COST - LEAD per LE]" caption="m_FG_av.DIRECT COST - LEAD per LE" measure="1" displayFolder="" measureGroup="SALES" count="0"/>
    <cacheHierarchy uniqueName="[Measures].[BT_IndirectCost - Labour]" caption="BT_IndirectCost - Labour" measure="1" displayFolder="" measureGroup="SALES" count="0"/>
    <cacheHierarchy uniqueName="[Measures].[m_FG_IndirectCost - Labour]" caption="m_FG_IndirectCost - Labour" measure="1" displayFolder="" measureGroup="SALES" count="0"/>
    <cacheHierarchy uniqueName="[Measures].[m_FG_av.IndirectCost - Labour]" caption="m_FG_av.IndirectCost - Labour" measure="1" displayFolder="" measureGroup="SALES" count="0"/>
    <cacheHierarchy uniqueName="[Measures].[m_FG_av.IndirectCost - Labour per LE]" caption="m_FG_av.IndirectCost - Labour per LE" measure="1" displayFolder="" measureGroup="SALES" count="0"/>
    <cacheHierarchy uniqueName="[Measures].[BT_LA VOLUME]" caption="BT_LA VOLUME" measure="1" displayFolder="" measureGroup="SALES" count="0"/>
    <cacheHierarchy uniqueName="[Measures].[BT_LA IndirectCost - D&amp;A]" caption="BT_LA IndirectCost - D&amp;A" measure="1" displayFolder="" measureGroup="SALES" count="0"/>
    <cacheHierarchy uniqueName="[Measures].[m_LA_IndirectCost - D&amp;A]" caption="m_LA_IndirectCost - D&amp;A" measure="1" displayFolder="" measureGroup="SALES" count="0"/>
    <cacheHierarchy uniqueName="[Measures].[m_LA_av.IndirectCost - D&amp;A per LE]" caption="m_LA_av.IndirectCost - D&amp;A per LE" measure="1" displayFolder="" measureGroup="SALES" count="0"/>
    <cacheHierarchy uniqueName="[Measures].[m_LA_VOLUME]" caption="m_LA_VOLUME" measure="1" displayFolder="" measureGroup="SALES" count="0"/>
    <cacheHierarchy uniqueName="[Measures].[BT_TWqty - LEAD]" caption="BT_TWqty - LEAD" measure="1" displayFolder="" measureGroup="SALES" count="0"/>
    <cacheHierarchy uniqueName="[Measures].[m_FG_TWqty - LEAD]" caption="m_FG_TWqty - LEAD" measure="1" displayFolder="" measureGroup="SALES" count="0"/>
    <cacheHierarchy uniqueName="[Measures].[BT_Mqty - LEAD]" caption="BT_Mqty - LEAD" measure="1" displayFolder="" measureGroup="SALES" count="0"/>
    <cacheHierarchy uniqueName="[Measures].[m_FG_Mqty - LEAD]" caption="m_FG_Mqty - LEAD" measure="1" displayFolder="" measureGroup="SALES" count="0"/>
    <cacheHierarchy uniqueName="[Measures].[BT_LA DIRECT COST]" caption="BT_LA DIRECT COST" measure="1" displayFolder="" measureGroup="SALES" count="0"/>
    <cacheHierarchy uniqueName="[Measures].[m_LA_DIRECT COST]" caption="m_LA_DIRECT COST" measure="1" displayFolder="" measureGroup="SALES" count="0"/>
    <cacheHierarchy uniqueName="[Measures].[m_LA_av.DIRECT COST per LE]" caption="m_LA_av.DIRECT COST per LE" measure="1" displayFolder="" measureGroup="SALES" count="0"/>
    <cacheHierarchy uniqueName="[Measures].[m_DIRECT COST]" caption="m_DIRECT COST" measure="1" displayFolder="" measureGroup="SALES" count="0"/>
    <cacheHierarchy uniqueName="[Measures].[BT_LA INDIRECT COST before D&amp;A]" caption="BT_LA INDIRECT COST before D&amp;A" measure="1" displayFolder="" measureGroup="SALES" count="0"/>
    <cacheHierarchy uniqueName="[Measures].[m_LA_INDIRECT COST before D&amp;A]" caption="m_LA_INDIRECT COST before D&amp;A" measure="1" displayFolder="" measureGroup="SALES" count="0"/>
    <cacheHierarchy uniqueName="[Measures].[m_INDIRECT COST before D&amp;A]" caption="m_INDIRECT COST before D&amp;A" measure="1" displayFolder="" measureGroup="SALES" count="0"/>
    <cacheHierarchy uniqueName="[Measures].[m_IndirectCost - D&amp;A]" caption="m_IndirectCost - D&amp;A" measure="1" displayFolder="" measureGroup="SALES" count="0"/>
    <cacheHierarchy uniqueName="[Measures].[m_COST before D&amp;A]" caption="m_COST before D&amp;A" measure="1" displayFolder="" measureGroup="SALES" count="0"/>
    <cacheHierarchy uniqueName="[Measures].[m_TNC before D&amp;A]" caption="m_TNC before D&amp;A" measure="1" displayFolder="" measureGroup="SALES" count="0"/>
    <cacheHierarchy uniqueName="[Measures].[BT_Mcost - LEAD]" caption="BT_Mcost - LEAD" measure="1" displayFolder="" measureGroup="SALES" count="0"/>
    <cacheHierarchy uniqueName="[Measures].[m_FG_Mcost - LEAD]" caption="m_FG_Mcost - LEAD" measure="1" displayFolder="" measureGroup="SALES" count="0"/>
    <cacheHierarchy uniqueName="[Measures].[m_FG_av.Mcost - LEAD]" caption="m_FG_av.Mcost - LEAD" measure="1" displayFolder="" measureGroup="SALES" count="0"/>
    <cacheHierarchy uniqueName="[Measures].[m_FG_av.Mcost - LEAD per LE]" caption="m_FG_av.Mcost - LEAD per LE" measure="1" displayFolder="" measureGroup="SALES" count="0"/>
    <cacheHierarchy uniqueName="[Measures].[m_av.COST before D&amp;A]" caption="m_av.COST before D&amp;A" measure="1" displayFolder="" measureGroup="SALES" count="0"/>
    <cacheHierarchy uniqueName="[Measures].[m_av.NC before D&amp;A]" caption="m_av.NC before D&amp;A" measure="1" displayFolder="" measureGroup="SALES" count="0"/>
    <cacheHierarchy uniqueName="[Measures].[m_av.NC before D&amp;A %]" caption="m_av.NC before D&amp;A %" measure="1" displayFolder="" measureGroup="SALES" count="0"/>
    <cacheHierarchy uniqueName="[Measures].[m_OPEX before D&amp;A]" caption="m_OPEX before D&amp;A" measure="1" displayFolder="" measureGroup="SALES" count="0"/>
    <cacheHierarchy uniqueName="[Measures].[m_EBITDA]" caption="m_EBITDA" measure="1" displayFolder="" measureGroup="SALES" count="0"/>
    <cacheHierarchy uniqueName="[Measures].[m_EBIT]" caption="m_EBIT" measure="1" displayFolder="" measureGroup="SALES" count="0"/>
    <cacheHierarchy uniqueName="[Measures].[m_TOTAL Mcost (FG)]" caption="m_TOTAL Mcost (FG)" measure="1" displayFolder="" measureGroup="MODEL" count="0"/>
    <cacheHierarchy uniqueName="[Measures].[m_av.Mcost per Mqty (FG)]" caption="m_av.Mcost per Mqty (FG)" measure="1" displayFolder="" measureGroup="MODEL" count="0"/>
    <cacheHierarchy uniqueName="[Measures].[BT_RM MGS]" caption="BT_RM MGS" measure="1" displayFolder="" measureGroup="SALES" count="0"/>
    <cacheHierarchy uniqueName="[Measures].[m_FG_RM MGS]" caption="m_FG_RM MGS" measure="1" displayFolder="" measureGroup="SALES" count="0"/>
    <cacheHierarchy uniqueName="[Measures].[m_FG_RM MGS/m_EBITDA]" caption="m_FG_RM MGS/m_EBITDA" measure="1" displayFolder="" measureGroup="SALES" count="0"/>
    <cacheHierarchy uniqueName="[Measures].[m_LA_av.PRICE per FG]" caption="m_LA_av.PRICE per FG" measure="1" displayFolder="" measureGroup="SALES" count="0"/>
    <cacheHierarchy uniqueName="[Measures].[m_LA_av.DIRECT COST per FG]" caption="m_LA_av.DIRECT COST per FG" measure="1" displayFolder="" measureGroup="SALES" count="0"/>
    <cacheHierarchy uniqueName="[Measures].[m_LA_av.COST before D&amp;A per FG]" caption="m_LA_av.COST before D&amp;A per FG" measure="1" displayFolder="" measureGroup="SALES" count="0"/>
    <cacheHierarchy uniqueName="[Measures].[m_LA_av.NC before D&amp;A per FG]" caption="m_LA_av.NC before D&amp;A per FG" measure="1" displayFolder="" measureGroup="SALES" count="0"/>
    <cacheHierarchy uniqueName="[Measures].[m_LA_av.IndirectCost - D&amp;A per FG]" caption="m_LA_av.IndirectCost - D&amp;A per FG" measure="1" displayFolder="" measureGroup="SALES" count="0"/>
    <cacheHierarchy uniqueName="[Measures].[m_av.RM MGS]" caption="m_av.RM MGS" measure="1" displayFolder="" measureGroup="SALES" count="0"/>
    <cacheHierarchy uniqueName="[Measures].[m_av.NC before D&amp;A (incl.MGS)]" caption="m_av.NC before D&amp;A (incl.MGS)" measure="1" displayFolder="" measureGroup="SALES" count="0"/>
    <cacheHierarchy uniqueName="[Measures].[m_FG_av.NC before D&amp;A (incl.RM MGS)]" caption="m_FG_av.NC before D&amp;A (incl.RM MGS)" measure="1" displayFolder="" measureGroup="SALES" count="0"/>
    <cacheHierarchy uniqueName="[Measures].[m_FG_av.NC before D&amp;A % (incl.RM MGS)]" caption="m_FG_av.NC before D&amp;A % (incl.RM MGS)" measure="1" displayFolder="" measureGroup="SALES" count="0"/>
    <cacheHierarchy uniqueName="[Measures].[BT_Mcost - BOX]" caption="BT_Mcost - BOX" measure="1" displayFolder="" measureGroup="SALES" count="0"/>
    <cacheHierarchy uniqueName="[Measures].[m_FG_Mcost - BOX]" caption="m_FG_Mcost - BOX" measure="1" displayFolder="" measureGroup="SALES" count="0"/>
    <cacheHierarchy uniqueName="[Measures].[m_FG_av.Mcost - BOX]" caption="m_FG_av.Mcost - BOX" measure="1" displayFolder="" measureGroup="SALES" count="0"/>
    <cacheHierarchy uniqueName="[Measures].[BT_Mcost - LID]" caption="BT_Mcost - LID" measure="1" displayFolder="" measureGroup="SALES" count="0"/>
    <cacheHierarchy uniqueName="[Measures].[m_FG_Mcost - LID]" caption="m_FG_Mcost - LID" measure="1" displayFolder="" measureGroup="SALES" count="0"/>
    <cacheHierarchy uniqueName="[Measures].[m_FG_av.Mcost - LID]" caption="m_FG_av.Mcost - LID" measure="1" displayFolder="" measureGroup="SALES" count="0"/>
    <cacheHierarchy uniqueName="[Measures].[BT_Mcost - SEPARATOR]" caption="BT_Mcost - SEPARATOR" measure="1" displayFolder="" measureGroup="SALES" count="0"/>
    <cacheHierarchy uniqueName="[Measures].[m_FG_Mcost - SEPARATOR]" caption="m_FG_Mcost - SEPARATOR" measure="1" displayFolder="" measureGroup="SALES" count="0"/>
    <cacheHierarchy uniqueName="[Measures].[m_FG_av.Mcost - SEPARATOR]" caption="m_FG_av.Mcost - SEPARATOR" measure="1" displayFolder="" measureGroup="SALES" count="0"/>
    <cacheHierarchy uniqueName="[Measures].[BT_Mcost - BOX (MG)]" caption="BT_Mcost - BOX (MG)" measure="1" displayFolder="" measureGroup="SALES" count="0"/>
    <cacheHierarchy uniqueName="[Measures].[BT_Mcost - LID (MG)]" caption="BT_Mcost - LID (MG)" measure="1" displayFolder="" measureGroup="SALES" count="0"/>
    <cacheHierarchy uniqueName="[Measures].[BT_Mcost - SEPARATOR (MG)]" caption="BT_Mcost - SEPARATOR (MG)" measure="1" displayFolder="" measureGroup="SALES" count="0"/>
    <cacheHierarchy uniqueName="[Measures].[m_FG_Mcost - BOX (MG)]" caption="m_FG_Mcost - BOX (MG)" measure="1" displayFolder="" measureGroup="SALES" count="0"/>
    <cacheHierarchy uniqueName="[Measures].[m_FG_Mcost - LID (MG)]" caption="m_FG_Mcost - LID (MG)" measure="1" displayFolder="" measureGroup="SALES" count="0"/>
    <cacheHierarchy uniqueName="[Measures].[m_FG_Mcost - SEPARATOR (MG)]" caption="m_FG_Mcost - SEPARATOR (MG)" measure="1" displayFolder="" measureGroup="SALES" count="0"/>
    <cacheHierarchy uniqueName="[Measures].[m_FG_av.Mcost - BOX (MG)]" caption="m_FG_av.Mcost - BOX (MG)" measure="1" displayFolder="" measureGroup="SALES" count="0"/>
    <cacheHierarchy uniqueName="[Measures].[m_FG_av.Mcost - LID (MG)]" caption="m_FG_av.Mcost - LID (MG)" measure="1" displayFolder="" measureGroup="SALES" count="0"/>
    <cacheHierarchy uniqueName="[Measures].[m_FG_av.Mcost - SEPARATOR (MG)]" caption="m_FG_av.Mcost - SEPARATOR (MG)" measure="1" displayFolder="" measureGroup="SALES" count="0"/>
    <cacheHierarchy uniqueName="[Measures].[m_FG_Mcost - BOX (MGS)]" caption="m_FG_Mcost - BOX (MGS)" measure="1" displayFolder="" measureGroup="SALES" count="0"/>
    <cacheHierarchy uniqueName="[Measures].[m_FG_Mcost - LID (MGS)]" caption="m_FG_Mcost - LID (MGS)" measure="1" displayFolder="" measureGroup="SALES" count="0"/>
    <cacheHierarchy uniqueName="[Measures].[m_FG_Mcost - SEPARATOR (MGS)]" caption="m_FG_Mcost - SEPARATOR (MGS)" measure="1" displayFolder="" measureGroup="SALES" count="0"/>
    <cacheHierarchy uniqueName="[Measures].[m_FG_av.Mcost - BOX (MGS)]" caption="m_FG_av.Mcost - BOX (MGS)" measure="1" displayFolder="" measureGroup="SALES" count="0"/>
    <cacheHierarchy uniqueName="[Measures].[m_FG_av.Mcost - LID (MGS)]" caption="m_FG_av.Mcost - LID (MGS)" measure="1" displayFolder="" measureGroup="SALES" count="0"/>
    <cacheHierarchy uniqueName="[Measures].[m_FG_av.Mcost - SEPARATOR (MGS)]" caption="m_FG_av.Mcost - SEPARATOR (MGS)" measure="1" displayFolder="" measureGroup="SALES" count="0"/>
    <cacheHierarchy uniqueName="[Measures].[m_TOTAL Mcost MG (FG)]" caption="m_TOTAL Mcost MG (FG)" measure="1" displayFolder="" measureGroup="MODEL" count="0"/>
    <cacheHierarchy uniqueName="[Measures].[m_av.Mcost MG per Mqty (FG)]" caption="m_av.Mcost MG per Mqty (FG)" measure="1" displayFolder="" measureGroup="MODEL" count="0"/>
    <cacheHierarchy uniqueName="[Measures].[m_%_TWcost]" caption="m_%_TWcost" measure="1" displayFolder="" measureGroup="SALES" count="0"/>
    <cacheHierarchy uniqueName="[Measures].[m_FG_av.COST]" caption="m_FG_av.COST" measure="1" displayFolder="" measureGroup="SALES" count="0"/>
    <cacheHierarchy uniqueName="[Measures].[m_FG_av.COST per LE]" caption="m_FG_av.COST per LE" measure="1" displayFolder="" measureGroup="SALES" count="0"/>
    <cacheHierarchy uniqueName="[Measures].[m_COST]" caption="m_COST" measure="1" displayFolder="" measureGroup="SALES" count="0"/>
    <cacheHierarchy uniqueName="[Measures].[m_av.COST]" caption="m_av.COST" measure="1" displayFolder="" measureGroup="SALES" count="0"/>
    <cacheHierarchy uniqueName="[Measures].[m_av.COST per LE]" caption="m_av.COST per LE" measure="1" displayFolder="" measureGroup="SALES" count="0"/>
    <cacheHierarchy uniqueName="[Measures].[m_TOTAL TWcost NET (FG)]" caption="m_TOTAL TWcost NET (FG)" measure="1" displayFolder="" measureGroup="MODEL" count="0"/>
    <cacheHierarchy uniqueName="[Measures].[m_TOTAL Mcost]" caption="m_TOTAL Mcost" measure="1" displayFolder="" measureGroup="MODEL" count="0"/>
    <cacheHierarchy uniqueName="[Measures].[m_TOTAL TWcost NET]" caption="m_TOTAL TWcost NET" measure="1" displayFolder="" measureGroup="MODEL" count="0"/>
    <cacheHierarchy uniqueName="[Measures].[m_TOTAL Mcost Required]" caption="m_TOTAL Mcost Required" measure="1" displayFolder="" measureGroup="MODEL" count="0"/>
    <cacheHierarchy uniqueName="[Measures].[m_av.Mcost (FG)]" caption="m_av.Mcost (FG)" measure="1" displayFolder="" measureGroup="MODEL" count="0"/>
    <cacheHierarchy uniqueName="[Measures].[m_av.TWcost NET (FG)]" caption="m_av.TWcost NET (FG)" measure="1" displayFolder="" measureGroup="MODEL" count="0"/>
    <cacheHierarchy uniqueName="[Measures].[m_TOTAL TWqty BATTERY]" caption="m_TOTAL TWqty BATTERY" measure="1" displayFolder="" measureGroup="MODEL" count="0"/>
    <cacheHierarchy uniqueName="[Measures].[m_TOTAL TWqty PLATE]" caption="m_TOTAL TWqty PLATE" measure="1" displayFolder="" measureGroup="MODEL" count="0"/>
    <cacheHierarchy uniqueName="[Measures].[m_TOTAL TWrevenue (FG)]" caption="m_TOTAL TWrevenue (FG)" measure="1" displayFolder="" measureGroup="MODEL" count="0"/>
    <cacheHierarchy uniqueName="[Measures].[m_av.TWrevenue (FG)]" caption="m_av.TWrevenue (FG)" measure="1" displayFolder="" measureGroup="MODEL" count="0"/>
    <cacheHierarchy uniqueName="[Measures].[m_TOTAL TWcost (FG)]" caption="m_TOTAL TWcost (FG)" measure="1" displayFolder="" measureGroup="MODEL" count="0"/>
    <cacheHierarchy uniqueName="[Measures].[m_av.TWcost (FG)]" caption="m_av.TWcost (FG)" measure="1" displayFolder="" measureGroup="MODEL" count="0"/>
    <cacheHierarchy uniqueName="[Measures].[BT_TWRevenue]" caption="BT_TWRevenue" measure="1" displayFolder="" measureGroup="SALES" count="0"/>
    <cacheHierarchy uniqueName="[Measures].[m_LA_COST]" caption="m_LA_COST" measure="1" displayFolder="" measureGroup="SALES" count="0"/>
    <cacheHierarchy uniqueName="[Measures].[m_FG_TWRevenue]" caption="m_FG_TWRevenue" measure="1" displayFolder="" measureGroup="SALES" count="0"/>
    <cacheHierarchy uniqueName="[Measures].[BT_TWCost]" caption="BT_TWCost" measure="1" displayFolder="" measureGroup="SALES" count="0"/>
    <cacheHierarchy uniqueName="[Measures].[m_FG_TWCost]" caption="m_FG_TWCost" measure="1" displayFolder="" measureGroup="SALES" count="0"/>
    <cacheHierarchy uniqueName="[Measures].[BT_OPEX]" caption="BT_OPEX" measure="1" displayFolder="" measureGroup="SALES" count="0"/>
    <cacheHierarchy uniqueName="[Measures].[m_OPEX AMOUNT]" caption="m_OPEX AMOUNT" measure="1" displayFolder="" measureGroup="OPEX_Budget" count="0"/>
    <cacheHierarchy uniqueName="[Measures].[BT_OPEX - D&amp;A]" caption="BT_OPEX - D&amp;A" measure="1" displayFolder="" measureGroup="SALES" count="0"/>
    <cacheHierarchy uniqueName="[Measures].[m_TOTAL OPEX AMOUNT]" caption="m_TOTAL OPEX AMOUNT" measure="1" displayFolder="" measureGroup="OPEX_Budget" count="0"/>
    <cacheHierarchy uniqueName="[Measures].[m_OPEX %]" caption="m_OPEX %" measure="1" displayFolder="" measureGroup="OPEX_Budget" count="0"/>
    <cacheHierarchy uniqueName="[Measures].[m_FG_VOLUME_ALLMARKET]" caption="m_FG_VOLUME_ALLMARKET" measure="1" displayFolder="" measureGroup="SALES" count="0"/>
    <cacheHierarchy uniqueName="[Measures].[m_FG_VOLUME %]" caption="m_FG_VOLUME %" measure="1" displayFolder="" measureGroup="SALES" count="0"/>
    <cacheHierarchy uniqueName="[Measures].[m_FG_SALES_ALLMARKET]" caption="m_FG_SALES_ALLMARKET" measure="1" displayFolder="" measureGroup="SALES" count="0"/>
    <cacheHierarchy uniqueName="[Measures].[m_FG_SALES %]" caption="m_FG_SALES %" measure="1" displayFolder="" measureGroup="SALES" count="0"/>
    <cacheHierarchy uniqueName="[Measures].[m_FG_TNC before D&amp;A_ALLMARKET]" caption="m_FG_TNC before D&amp;A_ALLMARKET" measure="1" displayFolder="" measureGroup="SALES" count="0"/>
    <cacheHierarchy uniqueName="[Measures].[m_FG_TNC before D&amp;A %]" caption="m_FG_TNC before D&amp;A %" measure="1" displayFolder="" measureGroup="SALES" count="0"/>
    <cacheHierarchy uniqueName="[Measures].[m_TNC before D&amp;A_ALLMARKET]" caption="m_TNC before D&amp;A_ALLMARKET" measure="1" displayFolder="" measureGroup="SALES" count="0"/>
    <cacheHierarchy uniqueName="[Measures].[m_TNC before D&amp;A %]" caption="m_TNC before D&amp;A %" measure="1" displayFolder="" measureGroup="SALES" count="0"/>
    <cacheHierarchy uniqueName="[Measures].[m_av.COST before D&amp;A per LE]" caption="m_av.COST before D&amp;A per LE" measure="1" displayFolder="" measureGroup="SALES" count="0"/>
    <cacheHierarchy uniqueName="[Measures].[m_PLATE_Pasted_Required (FG)]" caption="m_PLATE_Pasted_Required (FG)" measure="1" displayFolder="" measureGroup="MODEL" count="0"/>
    <cacheHierarchy uniqueName="[Measures].[m_PLATE_Cutted_Required (FG)]" caption="m_PLATE_Cutted_Required (FG)" measure="1" displayFolder="" measureGroup="MODEL" count="0"/>
    <cacheHierarchy uniqueName="[Measures].[m_PLATE_Pasted (FG)]" caption="m_PLATE_Pasted (FG)" measure="1" displayFolder="" measureGroup="MODEL" count="0"/>
    <cacheHierarchy uniqueName="[Measures].[m_PLATE_Cutted (FG)]" caption="m_PLATE_Cutted (FG)" measure="1" displayFolder="" measureGroup="MODEL" count="0"/>
    <cacheHierarchy uniqueName="[Measures].[m_av.PLATE_Pasted (FG)]" caption="m_av.PLATE_Pasted (FG)" measure="1" displayFolder="" measureGroup="MODEL" count="0"/>
    <cacheHierarchy uniqueName="[Measures].[m_av.PLATE_Cutted (FG)]" caption="m_av.PLATE_Cutted (FG)" measure="1" displayFolder="" measureGroup="MODEL" count="0"/>
    <cacheHierarchy uniqueName="[Measures].[m_PLATES (FG)]" caption="m_PLATES (FG)" measure="1" displayFolder="" measureGroup="MODEL" count="0"/>
    <cacheHierarchy uniqueName="[Measures].[m_av.PLATES (FG)]" caption="m_av.PLATES (FG)" measure="1" displayFolder="" measureGroup="MODEL" count="0"/>
    <cacheHierarchy uniqueName="[Measures].[m_TOTAL LE in kg on assembly (FG)]" caption="m_TOTAL LE in kg on assembly (FG)" measure="1" displayFolder="" measureGroup="MODEL" count="0"/>
    <cacheHierarchy uniqueName="[Measures].[m_av.LE in kg on assembly (FG)]" caption="m_av.LE in kg on assembly (FG)" measure="1" displayFolder="" measureGroup="MODEL" count="0"/>
    <cacheHierarchy uniqueName="[Measures].[m_TOTAL LE in kg excl.on assembly (FG)]" caption="m_TOTAL LE in kg excl.on assembly (FG)" measure="1" displayFolder="" measureGroup="MODEL" count="0"/>
    <cacheHierarchy uniqueName="[Measures].[m_av.LE in kg excl.on assembly (FG)]" caption="m_av.LE in kg excl.on assembly (FG)" measure="1" displayFolder="" measureGroup="MODEL" count="0"/>
    <cacheHierarchy uniqueName="[Measures].[m_PLATES_Required (FG)]" caption="m_PLATES_Required (FG)" measure="1" displayFolder="" measureGroup="MODEL" count="0"/>
    <cacheHierarchy uniqueName="[Measures].[m_av.PLATES_Required (FG)]" caption="m_av.PLATES_Required (FG)" measure="1" displayFolder="" measureGroup="MODEL" count="0"/>
    <cacheHierarchy uniqueName="[Measures].[m_SD_VOLUME (FG)]" caption="m_SD_VOLUME (FG)" measure="1" displayFolder="" measureGroup="MODEL" count="0"/>
    <cacheHierarchy uniqueName="[Measures].[m_SD_TOTAL COST (FG)]" caption="m_SD_TOTAL COST (FG)" measure="1" displayFolder="" measureGroup="MODEL" count="0"/>
    <cacheHierarchy uniqueName="[Measures].[m_SD_TOTAL COST before D&amp;A (FG)]" caption="m_SD_TOTAL COST before D&amp;A (FG)" measure="1" displayFolder="" measureGroup="MODEL" count="0"/>
    <cacheHierarchy uniqueName="[Measures].[m_SD_TOTAL DIRECT COST (FG)]" caption="m_SD_TOTAL DIRECT COST (FG)" measure="1" displayFolder="" measureGroup="MODEL" count="0"/>
    <cacheHierarchy uniqueName="[Measures].[m_SD_TOTAL INDIRECT COST before D&amp;A (FG)]" caption="m_SD_TOTAL INDIRECT COST before D&amp;A (FG)" measure="1" displayFolder="" measureGroup="MODEL" count="0"/>
    <cacheHierarchy uniqueName="[Measures].[m_SD_TOTAL IndirectCost - Electricity (FG)]" caption="m_SD_TOTAL IndirectCost - Electricity (FG)" measure="1" displayFolder="" measureGroup="MODEL" count="0"/>
    <cacheHierarchy uniqueName="[Measures].[m_SD_TOTAL IndirectCost - Gas (FG)]" caption="m_SD_TOTAL IndirectCost - Gas (FG)" measure="1" displayFolder="" measureGroup="MODEL" count="0"/>
    <cacheHierarchy uniqueName="[Measures].[m_SD_TOTAL IndirectCost - Water (FG)]" caption="m_SD_TOTAL IndirectCost - Water (FG)" measure="1" displayFolder="" measureGroup="MODEL" count="0"/>
    <cacheHierarchy uniqueName="[Measures].[m_SD_TOTAL IndirectCost - Labour (FG)]" caption="m_SD_TOTAL IndirectCost - Labour (FG)" measure="1" displayFolder="" measureGroup="MODEL" count="0"/>
    <cacheHierarchy uniqueName="[Measures].[m_SD_TOTAL IndirectCost - Maintenance (FG)]" caption="m_SD_TOTAL IndirectCost - Maintenance (FG)" measure="1" displayFolder="" measureGroup="MODEL" count="0"/>
    <cacheHierarchy uniqueName="[Measures].[m_SD_TOTAL IndirectCost - Quality (FG)]" caption="m_SD_TOTAL IndirectCost - Quality (FG)" measure="1" displayFolder="" measureGroup="MODEL" count="0"/>
    <cacheHierarchy uniqueName="[Measures].[m_SD_TOTAL IndirectCost - Logistic (FG)]" caption="m_SD_TOTAL IndirectCost - Logistic (FG)" measure="1" displayFolder="" measureGroup="MODEL" count="0"/>
    <cacheHierarchy uniqueName="[Measures].[m_SD_TOTAL IndirectCost - Other (FG)]" caption="m_SD_TOTAL IndirectCost - Other (FG)" measure="1" displayFolder="" measureGroup="MODEL" count="0"/>
    <cacheHierarchy uniqueName="[Measures].[m_SD_Mcost - LEAD (FG)]" caption="m_SD_Mcost - LEAD (FG)" measure="1" displayFolder="" measureGroup="MODEL" count="0"/>
    <cacheHierarchy uniqueName="[Measures].[m_SD_Mcost - BOX (FG)]" caption="m_SD_Mcost - BOX (FG)" measure="1" displayFolder="" measureGroup="MODEL" count="0"/>
    <cacheHierarchy uniqueName="[Measures].[m_SD_Mcost - LID (FG)]" caption="m_SD_Mcost - LID (FG)" measure="1" displayFolder="" measureGroup="MODEL" count="0"/>
    <cacheHierarchy uniqueName="[Measures].[m_SD_Mcost - SEPARATOR (FG)]" caption="m_SD_Mcost - SEPARATOR (FG)" measure="1" displayFolder="" measureGroup="MODEL" count="0"/>
    <cacheHierarchy uniqueName="[Measures].[m_SD_TWcost NET (FG)]" caption="m_SD_TWcost NET (FG)" measure="1" displayFolder="" measureGroup="MODEL" count="0"/>
    <cacheHierarchy uniqueName="[Measures].[m_SD_av.COST (FG)]" caption="m_SD_av.COST (FG)" measure="1" displayFolder="" measureGroup="MODEL" count="0"/>
    <cacheHierarchy uniqueName="[Measures].[m_SD_av.COST before D&amp;A (FG)]" caption="m_SD_av.COST before D&amp;A (FG)" measure="1" displayFolder="" measureGroup="MODEL" count="0"/>
    <cacheHierarchy uniqueName="[Measures].[m_SD_av.INDIRECT COST before D&amp;A (FG)]" caption="m_SD_av.INDIRECT COST before D&amp;A (FG)" measure="1" displayFolder="" measureGroup="MODEL" count="0"/>
    <cacheHierarchy uniqueName="[Measures].[m_SD_av.IndirectCost - Electricity (FG)]" caption="m_SD_av.IndirectCost - Electricity (FG)" measure="1" displayFolder="" measureGroup="MODEL" count="0"/>
    <cacheHierarchy uniqueName="[Measures].[m_SD_av.IndirectCost - Gas (FG)]" caption="m_SD_av.IndirectCost - Gas (FG)" measure="1" displayFolder="" measureGroup="MODEL" count="0"/>
    <cacheHierarchy uniqueName="[Measures].[m_SD_av.IndirectCost - Water (FG)]" caption="m_SD_av.IndirectCost - Water (FG)" measure="1" displayFolder="" measureGroup="MODEL" count="0"/>
    <cacheHierarchy uniqueName="[Measures].[m_SD_av.IndirectCost - Labour (FG)]" caption="m_SD_av.IndirectCost - Labour (FG)" measure="1" displayFolder="" measureGroup="MODEL" count="0"/>
    <cacheHierarchy uniqueName="[Measures].[m_SD_av.IndirectCost - Maintenance (FG)]" caption="m_SD_av.IndirectCost - Maintenance (FG)" measure="1" displayFolder="" measureGroup="MODEL" count="0"/>
    <cacheHierarchy uniqueName="[Measures].[m_SD_av.IndirectCost - Quality (FG)]" caption="m_SD_av.IndirectCost - Quality (FG)" measure="1" displayFolder="" measureGroup="MODEL" count="0"/>
    <cacheHierarchy uniqueName="[Measures].[m_SD_av.IndirectCost - Logistic (FG)]" caption="m_SD_av.IndirectCost - Logistic (FG)" measure="1" displayFolder="" measureGroup="MODEL" count="0"/>
    <cacheHierarchy uniqueName="[Measures].[m_SD_av.IndirectCost - Other (FG)]" caption="m_SD_av.IndirectCost - Other (FG)" measure="1" displayFolder="" measureGroup="MODEL" count="0"/>
    <cacheHierarchy uniqueName="[Measures].[m_SD_av.DIRECT COST (FG)]" caption="m_SD_av.DIRECT COST (FG)" measure="1" displayFolder="" measureGroup="MODEL" count="0"/>
    <cacheHierarchy uniqueName="[Measures].[m_SD_av.Mcost - LEAD (FG)]" caption="m_SD_av.Mcost - LEAD (FG)" measure="1" displayFolder="" measureGroup="MODEL" count="0"/>
    <cacheHierarchy uniqueName="[Measures].[m_SD_av.Mcost - BOX (FG)]" caption="m_SD_av.Mcost - BOX (FG)" measure="1" displayFolder="" measureGroup="MODEL" count="0"/>
    <cacheHierarchy uniqueName="[Measures].[m_SD_av.Mcost - LID (FG)]" caption="m_SD_av.Mcost - LID (FG)" measure="1" displayFolder="" measureGroup="MODEL" count="0"/>
    <cacheHierarchy uniqueName="[Measures].[m_SD_av.Mcost - SEPARATOR (FG)]" caption="m_SD_av.Mcost - SEPARATOR (FG)" measure="1" displayFolder="" measureGroup="MODEL" count="0"/>
    <cacheHierarchy uniqueName="[Measures].[m_SD_av.TWcost NET - LEAD (FG)]" caption="m_SD_av.TWcost NET - LEAD (FG)" measure="1" displayFolder="" measureGroup="MODEL" count="0"/>
    <cacheHierarchy uniqueName="[Measures].[m_SD_TOTAL LE in kg (FG)]" caption="m_SD_TOTAL LE in kg (FG)" measure="1" displayFolder="" measureGroup="MODEL" count="0"/>
    <cacheHierarchy uniqueName="[Measures].[m_SD_av.LE in kg (FG)]" caption="m_SD_av.LE in kg (FG)" measure="1" displayFolder="" measureGroup="MODEL" count="0"/>
    <cacheHierarchy uniqueName="[Measures].[m_INSTOCK_VOLUME]" caption="m_INSTOCK_VOLUME" measure="1" displayFolder="" measureGroup="MODEL" count="0"/>
    <cacheHierarchy uniqueName="[Measures].[m_NET VOLUME]" caption="m_NET VOLUME" measure="1" displayFolder="" measureGroup="MODEL" count="0"/>
    <cacheHierarchy uniqueName="[Measures].[m_TOTAL Mqty NET]" caption="m_TOTAL Mqty NET" measure="1" displayFolder="" measureGroup="MODEL" count="0"/>
    <cacheHierarchy uniqueName="[Measures].[m_TOTAL TWqty NET]" caption="m_TOTAL TWqty NET" measure="1" displayFolder="" measureGroup="MODEL" count="0"/>
    <cacheHierarchy uniqueName="[Measures].[m_TOTAL Mqty Required NET]" caption="m_TOTAL Mqty Required NET" measure="1" displayFolder="" measureGroup="MODEL" count="0"/>
    <cacheHierarchy uniqueName="[Measures].[__XL_Count MODEL]" caption="__XL_Count MODEL" measure="1" displayFolder="" measureGroup="MODEL" count="0" hidden="1"/>
    <cacheHierarchy uniqueName="[Measures].[__XL_Count FX]" caption="__XL_Count FX" measure="1" displayFolder="" measureGroup="FX" count="0" hidden="1"/>
    <cacheHierarchy uniqueName="[Measures].[__XL_Count CALENDAR]" caption="__XL_Count CALENDAR" measure="1" displayFolder="" measureGroup="CALENDAR" count="0" hidden="1"/>
    <cacheHierarchy uniqueName="[Measures].[__XL_Count SALES]" caption="__XL_Count SALES" measure="1" displayFolder="" measureGroup="SALES" count="0" hidden="1"/>
    <cacheHierarchy uniqueName="[Measures].[__XL_Count PRODUCTS]" caption="__XL_Count PRODUCTS" measure="1" displayFolder="" measureGroup="PRODUCTS" count="0" hidden="1"/>
    <cacheHierarchy uniqueName="[Measures].[__XL_Count LeadAlloy_COST_load]" caption="__XL_Count LeadAlloy_COST_load" measure="1" displayFolder="" measureGroup="LeadAlloy_COST_load" count="0" hidden="1"/>
    <cacheHierarchy uniqueName="[Measures].[__XL_Count TW_Price]" caption="__XL_Count TW_Price" measure="1" displayFolder="" measureGroup="TW_Price" count="0" hidden="1"/>
    <cacheHierarchy uniqueName="[Measures].[__XL_Count PRODUCTION_COST]" caption="__XL_Count PRODUCTION_COST" measure="1" displayFolder="" measureGroup="PRODUCTION_COST" count="0" hidden="1"/>
    <cacheHierarchy uniqueName="[Measures].[__XL_Count FIXED_DA_COSTperLE]" caption="__XL_Count FIXED_DA_COSTperLE" measure="1" displayFolder="" measureGroup="FIXED_DA_COSTperLE" count="0" hidden="1"/>
    <cacheHierarchy uniqueName="[Measures].[__XL_Count FIXED_LABOUR_COSTperLE]" caption="__XL_Count FIXED_LABOUR_COSTperLE" measure="1" displayFolder="" measureGroup="FIXED_LABOUR_COSTperLE" count="0" hidden="1"/>
    <cacheHierarchy uniqueName="[Measures].[__XL_Count OPEX_Budget]" caption="__XL_Count OPEX_Budget" measure="1" displayFolder="" measureGroup="OPEX_Budget" count="0" hidden="1"/>
    <cacheHierarchy uniqueName="[Measures].[__XL_Count RAW_MATERIAL_COST]" caption="__XL_Count RAW_MATERIAL_COST" measure="1" displayFolder="" measureGroup="RAW_MATERIAL_COST" count="0" hidden="1"/>
    <cacheHierarchy uniqueName="[Measures].[__XL_Count MG_CODE]" caption="__XL_Count MG_CODE" measure="1" displayFolder="" measureGroup="MG_CODE" count="0" hidden="1"/>
    <cacheHierarchy uniqueName="[Measures].[__XL_Count Mapping_Plates]" caption="__XL_Count Mapping_Plates" measure="1" displayFolder="" measureGroup="Mapping_Plates" count="0" hidden="1"/>
    <cacheHierarchy uniqueName="[Measures].[__XL_Count INSTOCK_FG]" caption="__XL_Count INSTOCK_FG" measure="1" displayFolder="" measureGroup="INSTOCK_FG" count="0" hidden="1"/>
    <cacheHierarchy uniqueName="[Measures].[__No measures defined]" caption="__No measures defined" measure="1" displayFolder="" count="0" hidden="1"/>
  </cacheHierarchies>
  <kpis count="0"/>
  <dimensions count="16">
    <dimension name="CALENDAR" uniqueName="[CALENDAR]" caption="CALENDAR"/>
    <dimension name="FIXED_DA_COSTperLE" uniqueName="[FIXED_DA_COSTperLE]" caption="FIXED_DA_COSTperLE"/>
    <dimension name="FIXED_LABOUR_COSTperLE" uniqueName="[FIXED_LABOUR_COSTperLE]" caption="FIXED_LABOUR_COSTperLE"/>
    <dimension name="FX" uniqueName="[FX]" caption="FX"/>
    <dimension name="INSTOCK_FG" uniqueName="[INSTOCK_FG]" caption="INSTOCK_FG"/>
    <dimension name="LeadAlloy_COST_load" uniqueName="[LeadAlloy_COST_load]" caption="LeadAlloy_COST_load"/>
    <dimension name="Mapping_Plates" uniqueName="[Mapping_Plates]" caption="Mapping_Plates"/>
    <dimension measure="1" name="Measures" uniqueName="[Measures]" caption="Measures"/>
    <dimension name="MG_CODE" uniqueName="[MG_CODE]" caption="MG_CODE"/>
    <dimension name="MODEL" uniqueName="[MODEL]" caption="MODEL"/>
    <dimension name="OPEX_Budget" uniqueName="[OPEX_Budget]" caption="OPEX_Budget"/>
    <dimension name="PRODUCTION_COST" uniqueName="[PRODUCTION_COST]" caption="PRODUCTION_COST"/>
    <dimension name="PRODUCTS" uniqueName="[PRODUCTS]" caption="PRODUCTS"/>
    <dimension name="RAW_MATERIAL_COST" uniqueName="[RAW_MATERIAL_COST]" caption="RAW_MATERIAL_COST"/>
    <dimension name="SALES" uniqueName="[SALES]" caption="SALES"/>
    <dimension name="TW_Price" uniqueName="[TW_Price]" caption="TW_Price"/>
  </dimensions>
  <measureGroups count="15">
    <measureGroup name="CALENDAR" caption="CALENDAR"/>
    <measureGroup name="FIXED_DA_COSTperLE" caption="FIXED_DA_COSTperLE"/>
    <measureGroup name="FIXED_LABOUR_COSTperLE" caption="FIXED_LABOUR_COSTperLE"/>
    <measureGroup name="FX" caption="FX"/>
    <measureGroup name="INSTOCK_FG" caption="INSTOCK_FG"/>
    <measureGroup name="LeadAlloy_COST_load" caption="LeadAlloy_COST_load"/>
    <measureGroup name="Mapping_Plates" caption="Mapping_Plates"/>
    <measureGroup name="MG_CODE" caption="MG_CODE"/>
    <measureGroup name="MODEL" caption="MODEL"/>
    <measureGroup name="OPEX_Budget" caption="OPEX_Budget"/>
    <measureGroup name="PRODUCTION_COST" caption="PRODUCTION_COST"/>
    <measureGroup name="PRODUCTS" caption="PRODUCTS"/>
    <measureGroup name="RAW_MATERIAL_COST" caption="RAW_MATERIAL_COST"/>
    <measureGroup name="SALES" caption="SALES"/>
    <measureGroup name="TW_Price" caption="TW_Price"/>
  </measureGroups>
  <maps count="30">
    <map measureGroup="0" dimension="0"/>
    <map measureGroup="1" dimension="1"/>
    <map measureGroup="2" dimension="2"/>
    <map measureGroup="3" dimension="3"/>
    <map measureGroup="4" dimension="0"/>
    <map measureGroup="4" dimension="4"/>
    <map measureGroup="4" dimension="12"/>
    <map measureGroup="5" dimension="5"/>
    <map measureGroup="6" dimension="6"/>
    <map measureGroup="7" dimension="8"/>
    <map measureGroup="8" dimension="0"/>
    <map measureGroup="8" dimension="1"/>
    <map measureGroup="8" dimension="2"/>
    <map measureGroup="8" dimension="5"/>
    <map measureGroup="8" dimension="6"/>
    <map measureGroup="8" dimension="8"/>
    <map measureGroup="8" dimension="9"/>
    <map measureGroup="8" dimension="11"/>
    <map measureGroup="8" dimension="12"/>
    <map measureGroup="8" dimension="13"/>
    <map measureGroup="8" dimension="15"/>
    <map measureGroup="9" dimension="0"/>
    <map measureGroup="9" dimension="10"/>
    <map measureGroup="10" dimension="11"/>
    <map measureGroup="11" dimension="12"/>
    <map measureGroup="12" dimension="13"/>
    <map measureGroup="13" dimension="0"/>
    <map measureGroup="13" dimension="12"/>
    <map measureGroup="13" dimension="14"/>
    <map measureGroup="14" dimension="15"/>
  </maps>
  <extLst>
    <ext xmlns:x14="http://schemas.microsoft.com/office/spreadsheetml/2009/9/main" uri="{725AE2AE-9491-48be-B2B4-4EB974FC3084}">
      <x14:pivotCacheDefinition supportSubqueryNonVisual="1" supportSubqueryCalcMem="1" supportAddCalcMems="1"/>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FERIEL BEN SAFTA" refreshedDate="44956.492145486111" createdVersion="8" refreshedVersion="8" minRefreshableVersion="3" recordCount="50" xr:uid="{96152EE0-6699-484E-91BA-47682B2CD3F5}">
  <cacheSource type="worksheet">
    <worksheetSource ref="A4:G54" sheet="Other expense analyse "/>
  </cacheSource>
  <cacheFields count="7">
    <cacheField name="n ° compte " numFmtId="3">
      <sharedItems containsSemiMixedTypes="0" containsString="0" containsNumber="1" containsInteger="1" minValue="603300000" maxValue="665800000"/>
    </cacheField>
    <cacheField name="Libéllé" numFmtId="0">
      <sharedItems containsBlank="1"/>
    </cacheField>
    <cacheField name="SOLDE AU 31/12/2022 Avant CONSOLIDATION" numFmtId="0">
      <sharedItems containsSemiMixedTypes="0" containsString="0" containsNumber="1" minValue="0" maxValue="566439.49899999995"/>
    </cacheField>
    <cacheField name="SOLDE AU 31/12/2021 Avant CONSOLIDATION" numFmtId="3">
      <sharedItems containsSemiMixedTypes="0" containsString="0" containsNumber="1" minValue="-128686.58100000001" maxValue="565343.46707500005"/>
    </cacheField>
    <cacheField name="Affectation " numFmtId="0">
      <sharedItems count="14">
        <s v="Maintenance "/>
        <s v="Fuel "/>
        <s v="fourniture "/>
        <s v="Securité et environnement "/>
        <s v="location "/>
        <s v="Services extérieurs "/>
        <s v="Honoraires "/>
        <s v="Marketting "/>
        <s v="Autres "/>
        <s v="Transport sur vente "/>
        <s v="Missions et réception "/>
        <s v="frais bancaires "/>
        <s v="Jetons de présence "/>
        <s v="Taxes "/>
      </sharedItems>
    </cacheField>
    <cacheField name="Variation " numFmtId="3">
      <sharedItems containsSemiMixedTypes="0" containsString="0" containsNumber="1" minValue="-131030.393" maxValue="234301.14200000011"/>
    </cacheField>
    <cacheField name="var%" numFmtId="9">
      <sharedItems containsMixedTypes="1" containsNumber="1" minValue="-1.820711531686432" maxValue="2.9882085927615485"/>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50">
  <r>
    <n v="603300000"/>
    <s v="VARIATION STOCK PDR"/>
    <n v="105614.5610000001"/>
    <n v="-128686.58100000001"/>
    <x v="0"/>
    <n v="234301.14200000011"/>
    <n v="-1.820711531686432"/>
  </r>
  <r>
    <n v="605020000"/>
    <s v="PIECE DE RECHGE USINE"/>
    <n v="566439.49899999995"/>
    <n v="565343.46707500005"/>
    <x v="0"/>
    <n v="1096.0319249999011"/>
    <n v="1.9387009646907238E-3"/>
  </r>
  <r>
    <n v="606140000"/>
    <s v="FOURNI.DE CARBURANT"/>
    <n v="436049.76199999999"/>
    <n v="338001.55900000001"/>
    <x v="1"/>
    <n v="98048.20299999998"/>
    <n v="0.29008210284615871"/>
  </r>
  <r>
    <n v="606200000"/>
    <s v="FOURNITURE DE BUREAU"/>
    <n v="65264.171999999999"/>
    <n v="45323.989999999991"/>
    <x v="2"/>
    <n v="19940.182000000008"/>
    <n v="0.43994763038293877"/>
  </r>
  <r>
    <n v="606600000"/>
    <s v="ACHAT LUBRIFIANT"/>
    <n v="19607.598000000002"/>
    <n v="32398.642700000004"/>
    <x v="0"/>
    <n v="-12791.044700000002"/>
    <n v="-0.39480186927707317"/>
  </r>
  <r>
    <n v="606700000"/>
    <s v="ACHAT PRODUITS DE NETT."/>
    <n v="15667.323999999999"/>
    <n v="17067.322"/>
    <x v="3"/>
    <n v="-1399.9980000000014"/>
    <n v="-8.2027983066119067E-2"/>
  </r>
  <r>
    <n v="606710000"/>
    <s v="MATERIL DE SECURITE"/>
    <n v="153893.66800000001"/>
    <n v="106468.821"/>
    <x v="3"/>
    <n v="47424.847000000009"/>
    <n v="0.44543413324732889"/>
  </r>
  <r>
    <n v="606720000"/>
    <s v="ENTRETIEN MAT. INCENDIE"/>
    <n v="2881"/>
    <n v="0"/>
    <x v="3"/>
    <n v="2881"/>
    <e v="#DIV/0!"/>
  </r>
  <r>
    <n v="614000000"/>
    <s v="CHARGE LOCA.ET. E COR"/>
    <n v="360720.70200000005"/>
    <n v="430873.18799999997"/>
    <x v="4"/>
    <n v="-70152.485999999917"/>
    <n v="-0.16281469340347982"/>
  </r>
  <r>
    <n v="615000000"/>
    <s v="ENTRETIEN ET REPARA"/>
    <n v="424181.34"/>
    <n v="353306.66199999995"/>
    <x v="0"/>
    <n v="70874.678000000073"/>
    <n v="0.20060385388374047"/>
  </r>
  <r>
    <n v="615010000"/>
    <s v="ENTRETIENTS"/>
    <n v="299332.24199999997"/>
    <n v="154418.80499999999"/>
    <x v="0"/>
    <n v="144913.43699999998"/>
    <n v="0.93844423287694778"/>
  </r>
  <r>
    <n v="616000000"/>
    <s v="PRIMES D'ASSURANCE"/>
    <n v="271.52600000000001"/>
    <n v="243.42599999999999"/>
    <x v="5"/>
    <n v="28.100000000000023"/>
    <n v="0.1154354916894663"/>
  </r>
  <r>
    <n v="616030000"/>
    <s v="ASSURANCE AUTOS"/>
    <n v="65935.790999999997"/>
    <n v="62056.43"/>
    <x v="5"/>
    <n v="3879.3609999999971"/>
    <n v="6.2513441395194616E-2"/>
  </r>
  <r>
    <n v="616070000"/>
    <s v="ASSURANCE INCENDIE"/>
    <n v="13809.8"/>
    <n v="13809.8"/>
    <x v="5"/>
    <n v="0"/>
    <n v="0"/>
  </r>
  <r>
    <n v="621200000"/>
    <s v="ENLEVEMENT DE DECHETS"/>
    <n v="68826.236000000004"/>
    <n v="29656.483999999997"/>
    <x v="3"/>
    <n v="39169.752000000008"/>
    <n v="1.3207820589925634"/>
  </r>
  <r>
    <n v="622000000"/>
    <s v="REMUN.D'INTERM.HONOR"/>
    <n v="38738.088000000003"/>
    <n v="169768.481"/>
    <x v="6"/>
    <n v="-131030.393"/>
    <n v="-0.77181813860960446"/>
  </r>
  <r>
    <n v="622100000"/>
    <m/>
    <n v="31494.02"/>
    <n v="0"/>
    <x v="6"/>
    <n v="31494.02"/>
    <e v="#DIV/0!"/>
  </r>
  <r>
    <n v="622200000"/>
    <m/>
    <n v="23006.054"/>
    <n v="0"/>
    <x v="6"/>
    <n v="23006.054"/>
    <e v="#DIV/0!"/>
  </r>
  <r>
    <n v="622400000"/>
    <m/>
    <n v="33390.29"/>
    <n v="0"/>
    <x v="6"/>
    <n v="33390.29"/>
    <e v="#DIV/0!"/>
  </r>
  <r>
    <n v="622700000"/>
    <m/>
    <n v="10300.325000000001"/>
    <n v="0"/>
    <x v="6"/>
    <n v="10300.325000000001"/>
    <e v="#DIV/0!"/>
  </r>
  <r>
    <n v="622800000"/>
    <m/>
    <n v="13870"/>
    <n v="0"/>
    <x v="6"/>
    <n v="13870"/>
    <e v="#DIV/0!"/>
  </r>
  <r>
    <n v="623000000"/>
    <s v="PUBLICITE"/>
    <n v="223674.31400000001"/>
    <n v="115338.46000000002"/>
    <x v="7"/>
    <n v="108335.85399999999"/>
    <n v="0.93928646177519604"/>
  </r>
  <r>
    <n v="623010000"/>
    <s v="COTISATION &amp; DONS"/>
    <n v="60183.020000000004"/>
    <n v="56879.8"/>
    <x v="8"/>
    <n v="3303.2200000000012"/>
    <n v="5.8073692242237157E-2"/>
  </r>
  <r>
    <n v="622300000"/>
    <s v="ETUDES ET EXPERTISES"/>
    <n v="17667.282999999999"/>
    <n v="0"/>
    <x v="6"/>
    <n v="17667.282999999999"/>
    <e v="#DIV/0!"/>
  </r>
  <r>
    <n v="622500000"/>
    <s v="HONORAIRES CAC"/>
    <n v="51345.061000000002"/>
    <n v="0"/>
    <x v="6"/>
    <n v="51345.061000000002"/>
    <e v="#DIV/0!"/>
  </r>
  <r>
    <n v="622600000"/>
    <s v="HONOR.AVOCATS+HUISSIERS"/>
    <n v="19508"/>
    <n v="0"/>
    <x v="6"/>
    <n v="19508"/>
    <e v="#DIV/0!"/>
  </r>
  <r>
    <n v="624100000"/>
    <s v="TRANSPORT SUR ACHAT"/>
    <n v="23784"/>
    <n v="30107.692999999999"/>
    <x v="8"/>
    <n v="-6323.6929999999993"/>
    <n v="-0.21003578719897267"/>
  </r>
  <r>
    <n v="624200000"/>
    <s v="TRANSPORT SUR VENTE"/>
    <n v="3400"/>
    <n v="3950"/>
    <x v="9"/>
    <n v="-550"/>
    <n v="-0.13924050632911392"/>
  </r>
  <r>
    <n v="624300000"/>
    <s v="FRAIS/VENTE EXPORT"/>
    <n v="123674.76300000001"/>
    <n v="107548.558"/>
    <x v="9"/>
    <n v="16126.205000000002"/>
    <n v="0.14994347948393694"/>
  </r>
  <r>
    <n v="625000000"/>
    <s v="FRAIS DE DEPLACEMENT"/>
    <n v="14733.566000000001"/>
    <n v="8326.0249999999996"/>
    <x v="10"/>
    <n v="6407.5410000000011"/>
    <n v="0.76957984152101411"/>
  </r>
  <r>
    <n v="625100000"/>
    <s v="VOYAGES ET MISSIONS"/>
    <n v="31122.916000000001"/>
    <n v="36034.300000000003"/>
    <x v="10"/>
    <n v="-4911.3840000000018"/>
    <n v="-0.13629747213071994"/>
  </r>
  <r>
    <n v="625200000"/>
    <m/>
    <n v="25532.463"/>
    <n v="0"/>
    <x v="10"/>
    <n v="25532.463"/>
    <e v="#DIV/0!"/>
  </r>
  <r>
    <n v="625700000"/>
    <s v="RECEPTIONS"/>
    <n v="35455.123000000007"/>
    <n v="48767.466999999997"/>
    <x v="10"/>
    <n v="-13312.34399999999"/>
    <n v="-0.27297591650597702"/>
  </r>
  <r>
    <n v="625710000"/>
    <m/>
    <n v="20171.505000000001"/>
    <n v="0"/>
    <x v="10"/>
    <n v="20171.505000000001"/>
    <e v="#DIV/0!"/>
  </r>
  <r>
    <n v="625720000"/>
    <m/>
    <n v="16779.900000000001"/>
    <n v="0"/>
    <x v="10"/>
    <n v="16779.900000000001"/>
    <e v="#DIV/0!"/>
  </r>
  <r>
    <n v="625730000"/>
    <m/>
    <n v="5874.4"/>
    <n v="0"/>
    <x v="10"/>
    <n v="5874.4"/>
    <e v="#DIV/0!"/>
  </r>
  <r>
    <n v="625800000"/>
    <s v="ABONNEMENT ET DOCU."/>
    <n v="10248.399000000001"/>
    <n v="21647.352999999999"/>
    <x v="10"/>
    <n v="-11398.953999999998"/>
    <n v="-0.52657495814846267"/>
  </r>
  <r>
    <n v="626000000"/>
    <s v="FRAIS POSTAUX &amp; TELEC"/>
    <n v="53056.451000000001"/>
    <n v="50179.668000000005"/>
    <x v="8"/>
    <n v="2876.7829999999958"/>
    <n v="5.7329653914808591E-2"/>
  </r>
  <r>
    <n v="627800000"/>
    <s v="AUT.FRAI.COM.PRES.SER"/>
    <n v="245618.05500000002"/>
    <n v="205418.45699999999"/>
    <x v="11"/>
    <n v="40199.598000000027"/>
    <n v="0.19569613454938972"/>
  </r>
  <r>
    <n v="633000000"/>
    <s v="JETONS DE PRESENCE"/>
    <n v="125000"/>
    <n v="0"/>
    <x v="12"/>
    <n v="125000"/>
    <e v="#DIV/0!"/>
  </r>
  <r>
    <n v="661100000"/>
    <s v="T F P"/>
    <n v="21276.623"/>
    <n v="13719.277"/>
    <x v="13"/>
    <n v="7557.3459999999995"/>
    <n v="0.55085599627443926"/>
  </r>
  <r>
    <n v="661200000"/>
    <s v="FOPROLOS"/>
    <n v="10638.338000000002"/>
    <n v="6859.6360000000004"/>
    <x v="13"/>
    <n v="3778.7020000000011"/>
    <n v="0.5508604246639327"/>
  </r>
  <r>
    <n v="665000000"/>
    <s v="AUT.IMP.TAX.VERS.ASSIM"/>
    <n v="67476.077999999994"/>
    <n v="30794.17"/>
    <x v="13"/>
    <n v="36681.907999999996"/>
    <n v="1.1911965154443194"/>
  </r>
  <r>
    <n v="665200000"/>
    <s v="TAX/LE CHIF.D'AFF.N.REC"/>
    <n v="183526.44499999998"/>
    <n v="159813.20499999999"/>
    <x v="13"/>
    <n v="23713.239999999991"/>
    <n v="0.14838098015742812"/>
  </r>
  <r>
    <n v="665400000"/>
    <s v="DROITS D'EREG.DE TIM"/>
    <n v="90140.007000000012"/>
    <n v="22601.628000000001"/>
    <x v="13"/>
    <n v="67538.379000000015"/>
    <n v="2.9882085927615485"/>
  </r>
  <r>
    <n v="665500000"/>
    <s v="TAXE SUR LES VEHICULE"/>
    <n v="19642.161"/>
    <n v="18377.151999999998"/>
    <x v="13"/>
    <n v="1265.0090000000018"/>
    <n v="6.8835965442305858E-2"/>
  </r>
  <r>
    <n v="665800000"/>
    <s v="AUTRES DROITS"/>
    <n v="58.25"/>
    <n v="1721.5"/>
    <x v="13"/>
    <n v="-1663.25"/>
    <n v="-0.96616322974150448"/>
  </r>
  <r>
    <n v="617000000"/>
    <s v="ETUD.RECH..DIV.SER.EX"/>
    <n v="0"/>
    <n v="345.98500000000001"/>
    <x v="5"/>
    <n v="-345.98500000000001"/>
    <n v="-1"/>
  </r>
  <r>
    <n v="620000000"/>
    <s v="ADMI ADMINISTRATION"/>
    <n v="0"/>
    <n v="10097.164000000001"/>
    <x v="5"/>
    <n v="-10097.164000000001"/>
    <n v="-1"/>
  </r>
  <r>
    <n v="621000000"/>
    <s v="PERSON.EXT.A L'ENTRE"/>
    <n v="0"/>
    <n v="2292.8809999999999"/>
    <x v="5"/>
    <n v="-2292.8809999999999"/>
    <n v="-1"/>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6417384A-CE87-438A-97FC-FF98ACC2D36D}" name="PivotTable2" cacheId="230" dataOnRows="1" dataPosition="0" applyNumberFormats="0" applyBorderFormats="0" applyFontFormats="0" applyPatternFormats="0" applyAlignmentFormats="0" applyWidthHeightFormats="1" dataCaption="Values" tag="c89416cc-cbfc-435e-83fd-b4ce41e92d62" updatedVersion="8" minRefreshableVersion="3" showDrill="0" useAutoFormatting="1" subtotalHiddenItems="1" itemPrintTitles="1" createdVersion="7" indent="0" compact="0" compactData="0" multipleFieldFilters="0">
  <location ref="A4:L33" firstHeaderRow="1" firstDataRow="2" firstDataCol="5"/>
  <pivotFields count="8">
    <pivotField axis="axisRow" compact="0" allDrilled="1" outline="0" subtotalTop="0" showAll="0" insertBlankRow="1" dataSourceSort="1" defaultAttributeDrillState="1">
      <items count="2">
        <item s="1" x="0"/>
        <item t="default"/>
      </items>
      <extLst>
        <ext xmlns:x14="http://schemas.microsoft.com/office/spreadsheetml/2009/9/main" uri="{2946ED86-A175-432a-8AC1-64E0C546D7DE}">
          <x14:pivotField fillDownLabels="1"/>
        </ext>
      </extLst>
    </pivotField>
    <pivotField axis="axisCol" compact="0" allDrilled="1" outline="0" subtotalTop="0" showAll="0" dataSourceSort="1" defaultSubtotal="0" defaultAttributeDrillState="1">
      <items count="6">
        <item s="1" x="0"/>
        <item s="1" x="1"/>
        <item s="1" x="2"/>
        <item s="1" x="3"/>
        <item s="1" x="4"/>
        <item s="1" x="5"/>
      </items>
    </pivotField>
    <pivotField axis="axisRow" compact="0" allDrilled="1" outline="0" subtotalTop="0" showAll="0" defaultSubtotal="0" defaultAttributeDrillState="1">
      <items count="8">
        <item x="4"/>
        <item x="6"/>
        <item x="5"/>
        <item x="2"/>
        <item x="3"/>
        <item x="7"/>
        <item x="0"/>
        <item x="1"/>
      </items>
    </pivotField>
    <pivotField dataField="1" compact="0" outline="0" subtotalTop="0" showAll="0" defaultSubtotal="0"/>
    <pivotField axis="axisRow" compact="0" allDrilled="1" outline="0" showAll="0" defaultSubtotal="0" defaultAttributeDrillState="1">
      <items count="5">
        <item x="4"/>
        <item x="2"/>
        <item x="0" e="0"/>
        <item x="1" e="0"/>
        <item x="3" e="0"/>
      </items>
      <extLst>
        <ext xmlns:x14="http://schemas.microsoft.com/office/spreadsheetml/2009/9/main" uri="{2946ED86-A175-432a-8AC1-64E0C546D7DE}">
          <x14:pivotField fillDownLabels="1"/>
        </ext>
      </extLst>
    </pivotField>
    <pivotField axis="axisRow" compact="0" allDrilled="1" outline="0" subtotalTop="0" showAll="0" dataSourceSort="1" defaultSubtotal="0" defaultAttributeDrillState="1">
      <items count="4">
        <item x="0" e="0"/>
        <item x="1" e="0"/>
        <item x="2" e="0"/>
        <item x="3" e="0"/>
      </items>
      <extLst>
        <ext xmlns:x14="http://schemas.microsoft.com/office/spreadsheetml/2009/9/main" uri="{2946ED86-A175-432a-8AC1-64E0C546D7DE}">
          <x14:pivotField fillDownLabels="1"/>
        </ext>
      </extLst>
    </pivotField>
    <pivotField dataField="1" compact="0" outline="0" subtotalTop="0" showAll="0" defaultSubtotal="0"/>
    <pivotField dataField="1" compact="0" outline="0" subtotalTop="0" showAll="0" defaultSubtotal="0"/>
  </pivotFields>
  <rowFields count="5">
    <field x="-2"/>
    <field x="0"/>
    <field x="4"/>
    <field x="5"/>
    <field x="2"/>
  </rowFields>
  <rowItems count="28">
    <i>
      <x/>
      <x/>
      <x v="1"/>
      <x/>
    </i>
    <i r="3">
      <x v="1"/>
    </i>
    <i r="3">
      <x v="2"/>
    </i>
    <i r="3">
      <x v="3"/>
    </i>
    <i r="2">
      <x v="2"/>
    </i>
    <i r="2">
      <x v="3"/>
    </i>
    <i r="2">
      <x v="4"/>
    </i>
    <i t="default" r="1">
      <x/>
    </i>
    <i i="1">
      <x v="1"/>
      <x/>
      <x v="1"/>
      <x/>
    </i>
    <i r="3" i="1">
      <x v="1"/>
    </i>
    <i r="3" i="1">
      <x v="2"/>
    </i>
    <i r="3" i="1">
      <x v="3"/>
    </i>
    <i r="2" i="1">
      <x v="2"/>
    </i>
    <i r="2" i="1">
      <x v="3"/>
    </i>
    <i r="2" i="1">
      <x v="4"/>
    </i>
    <i t="default" r="1" i="1">
      <x/>
    </i>
    <i i="2">
      <x v="2"/>
      <x/>
      <x v="1"/>
      <x/>
    </i>
    <i r="3" i="2">
      <x v="1"/>
    </i>
    <i r="3" i="2">
      <x v="2"/>
    </i>
    <i r="3" i="2">
      <x v="3"/>
    </i>
    <i r="2" i="2">
      <x v="2"/>
    </i>
    <i r="2" i="2">
      <x v="3"/>
    </i>
    <i r="2" i="2">
      <x v="4"/>
    </i>
    <i t="default" r="1" i="2">
      <x/>
    </i>
    <i t="blank" r="1">
      <x/>
    </i>
    <i t="grand">
      <x/>
    </i>
    <i t="grand" i="1">
      <x v="1"/>
    </i>
    <i t="grand" i="2">
      <x v="2"/>
    </i>
  </rowItems>
  <colFields count="1">
    <field x="1"/>
  </colFields>
  <colItems count="7">
    <i>
      <x/>
    </i>
    <i>
      <x v="1"/>
    </i>
    <i>
      <x v="2"/>
    </i>
    <i>
      <x v="3"/>
    </i>
    <i>
      <x v="4"/>
    </i>
    <i>
      <x v="5"/>
    </i>
    <i t="grand">
      <x/>
    </i>
  </colItems>
  <dataFields count="3">
    <dataField fld="3" subtotal="count" baseField="0" baseItem="0"/>
    <dataField fld="6" subtotal="count" baseField="0" baseItem="0"/>
    <dataField fld="7" subtotal="count" baseField="0" baseItem="0"/>
  </dataFields>
  <formats count="27">
    <format dxfId="28">
      <pivotArea dataOnly="0" outline="0" fieldPosition="0">
        <references count="1">
          <reference field="0" count="0" defaultSubtotal="1"/>
        </references>
      </pivotArea>
    </format>
    <format dxfId="27">
      <pivotArea dataOnly="0" fieldPosition="0">
        <references count="1">
          <reference field="4" count="1">
            <x v="0"/>
          </reference>
        </references>
      </pivotArea>
    </format>
    <format dxfId="26">
      <pivotArea dataOnly="0" fieldPosition="0">
        <references count="1">
          <reference field="4" count="1">
            <x v="0"/>
          </reference>
        </references>
      </pivotArea>
    </format>
    <format dxfId="25">
      <pivotArea dataOnly="0" outline="0" fieldPosition="0">
        <references count="1">
          <reference field="2" count="1">
            <x v="5"/>
          </reference>
        </references>
      </pivotArea>
    </format>
    <format dxfId="24">
      <pivotArea dataOnly="0" outline="0" fieldPosition="0">
        <references count="1">
          <reference field="2" count="1">
            <x v="3"/>
          </reference>
        </references>
      </pivotArea>
    </format>
    <format dxfId="23">
      <pivotArea dataOnly="0" outline="0" fieldPosition="0">
        <references count="1">
          <reference field="2" count="1">
            <x v="4"/>
          </reference>
        </references>
      </pivotArea>
    </format>
    <format dxfId="22">
      <pivotArea dataOnly="0" outline="0" fieldPosition="0">
        <references count="1">
          <reference field="2" count="1">
            <x v="0"/>
          </reference>
        </references>
      </pivotArea>
    </format>
    <format dxfId="21">
      <pivotArea dataOnly="0" outline="0" fieldPosition="0">
        <references count="1">
          <reference field="2" count="1">
            <x v="2"/>
          </reference>
        </references>
      </pivotArea>
    </format>
    <format dxfId="20">
      <pivotArea dataOnly="0" outline="0" fieldPosition="0">
        <references count="1">
          <reference field="2" count="1">
            <x v="1"/>
          </reference>
        </references>
      </pivotArea>
    </format>
    <format dxfId="19">
      <pivotArea outline="0" fieldPosition="0">
        <references count="3">
          <reference field="4294967294" count="1" selected="0">
            <x v="0"/>
          </reference>
          <reference field="0" count="0" selected="0" defaultSubtotal="1"/>
          <reference field="1" count="1" selected="0">
            <x v="4"/>
          </reference>
        </references>
      </pivotArea>
    </format>
    <format dxfId="18">
      <pivotArea outline="0" fieldPosition="0">
        <references count="4">
          <reference field="4294967294" count="1" selected="0">
            <x v="0"/>
          </reference>
          <reference field="0" count="0" selected="0"/>
          <reference field="1" count="1" selected="0">
            <x v="4"/>
          </reference>
          <reference field="4" count="1" selected="0">
            <x v="1"/>
          </reference>
        </references>
      </pivotArea>
    </format>
    <format dxfId="17">
      <pivotArea outline="0" fieldPosition="0">
        <references count="3">
          <reference field="4294967294" count="1" selected="0">
            <x v="0"/>
          </reference>
          <reference field="0" count="0" selected="0" defaultSubtotal="1"/>
          <reference field="1" count="1" selected="0">
            <x v="5"/>
          </reference>
        </references>
      </pivotArea>
    </format>
    <format dxfId="16">
      <pivotArea outline="0" fieldPosition="0">
        <references count="3">
          <reference field="4294967294" count="1" selected="0">
            <x v="0"/>
          </reference>
          <reference field="0" count="0" selected="0" defaultSubtotal="1"/>
          <reference field="1" count="2" selected="0">
            <x v="4"/>
            <x v="5"/>
          </reference>
        </references>
      </pivotArea>
    </format>
    <format dxfId="15">
      <pivotArea outline="0" fieldPosition="0">
        <references count="5">
          <reference field="4294967294" count="1" selected="0">
            <x v="1"/>
          </reference>
          <reference field="0" count="0" selected="0"/>
          <reference field="1" count="2" selected="0">
            <x v="4"/>
            <x v="5"/>
          </reference>
          <reference field="4" count="1" selected="0">
            <x v="1"/>
          </reference>
          <reference field="5" count="1" selected="0">
            <x v="0"/>
          </reference>
        </references>
      </pivotArea>
    </format>
    <format dxfId="14">
      <pivotArea outline="0" fieldPosition="0">
        <references count="3">
          <reference field="4294967294" count="1" selected="0">
            <x v="0"/>
          </reference>
          <reference field="0" count="0" selected="0"/>
          <reference field="4" count="1" selected="0">
            <x v="4"/>
          </reference>
        </references>
      </pivotArea>
    </format>
    <format dxfId="13">
      <pivotArea outline="0" fieldPosition="0">
        <references count="2">
          <reference field="4294967294" count="1" selected="0">
            <x v="0"/>
          </reference>
          <reference field="0" count="0" selected="0" defaultSubtotal="1"/>
        </references>
      </pivotArea>
    </format>
    <format dxfId="12">
      <pivotArea dataOnly="0" labelOnly="1" outline="0" offset="IV7:IV256" fieldPosition="0">
        <references count="1">
          <reference field="4294967294" count="1">
            <x v="0"/>
          </reference>
        </references>
      </pivotArea>
    </format>
    <format dxfId="11">
      <pivotArea dataOnly="0" labelOnly="1" outline="0" offset="IV256" fieldPosition="0">
        <references count="2">
          <reference field="4294967294" count="1" selected="0">
            <x v="0"/>
          </reference>
          <reference field="0" count="0"/>
        </references>
      </pivotArea>
    </format>
    <format dxfId="10">
      <pivotArea dataOnly="0" labelOnly="1" outline="0" fieldPosition="0">
        <references count="2">
          <reference field="4294967294" count="2" selected="0">
            <x v="0"/>
            <x v="2"/>
          </reference>
          <reference field="0" count="0" defaultSubtotal="1"/>
        </references>
      </pivotArea>
    </format>
    <format dxfId="9">
      <pivotArea dataOnly="0" labelOnly="1" outline="0" fieldPosition="0">
        <references count="3">
          <reference field="4294967294" count="1" selected="0">
            <x v="0"/>
          </reference>
          <reference field="0" count="0" selected="0"/>
          <reference field="4" count="1">
            <x v="4"/>
          </reference>
        </references>
      </pivotArea>
    </format>
    <format dxfId="8">
      <pivotArea outline="0" fieldPosition="0">
        <references count="3">
          <reference field="4294967294" count="1" selected="0">
            <x v="1"/>
          </reference>
          <reference field="0" count="0" selected="0"/>
          <reference field="4" count="2" selected="0">
            <x v="3"/>
            <x v="4"/>
          </reference>
        </references>
      </pivotArea>
    </format>
    <format dxfId="7">
      <pivotArea outline="0" fieldPosition="0">
        <references count="2">
          <reference field="4294967294" count="1" selected="0">
            <x v="1"/>
          </reference>
          <reference field="0" count="0" selected="0" defaultSubtotal="1"/>
        </references>
      </pivotArea>
    </format>
    <format dxfId="6">
      <pivotArea dataOnly="0" labelOnly="1" outline="0" offset="IV6:IV256" fieldPosition="0">
        <references count="1">
          <reference field="4294967294" count="1">
            <x v="1"/>
          </reference>
        </references>
      </pivotArea>
    </format>
    <format dxfId="5">
      <pivotArea dataOnly="0" labelOnly="1" outline="0" offset="IV6:IV256" fieldPosition="0">
        <references count="2">
          <reference field="4294967294" count="1" selected="0">
            <x v="1"/>
          </reference>
          <reference field="0" count="0"/>
        </references>
      </pivotArea>
    </format>
    <format dxfId="4">
      <pivotArea dataOnly="0" labelOnly="1" outline="0" fieldPosition="0">
        <references count="2">
          <reference field="4294967294" count="2" selected="0">
            <x v="0"/>
            <x v="1"/>
          </reference>
          <reference field="0" count="0" defaultSubtotal="1"/>
        </references>
      </pivotArea>
    </format>
    <format dxfId="3">
      <pivotArea dataOnly="0" labelOnly="1" outline="0" fieldPosition="0">
        <references count="2">
          <reference field="4294967294" count="2" selected="0">
            <x v="1"/>
            <x v="2"/>
          </reference>
          <reference field="0" count="0" defaultSubtotal="1"/>
        </references>
      </pivotArea>
    </format>
    <format dxfId="2">
      <pivotArea dataOnly="0" labelOnly="1" outline="0" fieldPosition="0">
        <references count="3">
          <reference field="4294967294" count="1" selected="0">
            <x v="1"/>
          </reference>
          <reference field="0" count="0" selected="0"/>
          <reference field="4" count="2">
            <x v="3"/>
            <x v="4"/>
          </reference>
        </references>
      </pivotArea>
    </format>
  </formats>
  <pivotHierarchies count="600">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ies>
  <pivotTableStyleInfo name="PivotStyleLight8" showRowHeaders="1" showColHeaders="1" showRowStripes="0" showColStripes="0" showLastColumn="1"/>
  <rowHierarchiesUsage count="5">
    <rowHierarchyUsage hierarchyUsage="-2"/>
    <rowHierarchyUsage hierarchyUsage="131"/>
    <rowHierarchyUsage hierarchyUsage="130"/>
    <rowHierarchyUsage hierarchyUsage="126"/>
    <rowHierarchyUsage hierarchyUsage="127"/>
  </rowHierarchiesUsage>
  <colHierarchiesUsage count="1">
    <colHierarchyUsage hierarchyUsage="133"/>
  </colHierarchiesUsage>
  <extLst>
    <ext xmlns:x14="http://schemas.microsoft.com/office/spreadsheetml/2009/9/main" uri="{962EF5D1-5CA2-4c93-8EF4-DBF5C05439D2}">
      <x14:pivotTableDefinition xmlns:xm="http://schemas.microsoft.com/office/excel/2006/main" calculatedMembersInFilters="1" hideValuesRow="1"/>
    </ext>
    <ext xmlns:x15="http://schemas.microsoft.com/office/spreadsheetml/2010/11/main" uri="{E67621CE-5B39-4880-91FE-76760E9C1902}">
      <x15:pivotTableUISettings>
        <x15:activeTabTopLevelEntity name="[SALES]"/>
      </x15:pivotTableUISettings>
    </ext>
    <ext xmlns:xpdl="http://schemas.microsoft.com/office/spreadsheetml/2016/pivotdefaultlayout" uri="{747A6164-185A-40DC-8AA5-F01512510D54}">
      <xpdl:pivotTableDefinition16 EnabledSubtotalsDefault="0" SubtotalsOnTopDefault="0"/>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DB397BE2-53A0-4DEE-82F3-53DD3A7D4F1F}" name="Tableau croisé dynamique3" cacheId="231" applyNumberFormats="0" applyBorderFormats="0" applyFontFormats="0" applyPatternFormats="0" applyAlignmentFormats="0" applyWidthHeightFormats="1" dataCaption="Valeurs" updatedVersion="8" minRefreshableVersion="3" useAutoFormatting="1" itemPrintTitles="1" createdVersion="8" indent="0" outline="1" outlineData="1" multipleFieldFilters="0">
  <location ref="I6:L21" firstHeaderRow="0" firstDataRow="1" firstDataCol="1"/>
  <pivotFields count="7">
    <pivotField numFmtId="3" showAll="0"/>
    <pivotField showAll="0"/>
    <pivotField dataField="1" showAll="0"/>
    <pivotField dataField="1" showAll="0"/>
    <pivotField axis="axisRow" showAll="0">
      <items count="15">
        <item x="8"/>
        <item x="2"/>
        <item x="11"/>
        <item x="1"/>
        <item x="6"/>
        <item x="12"/>
        <item x="4"/>
        <item x="0"/>
        <item x="7"/>
        <item x="10"/>
        <item x="3"/>
        <item x="5"/>
        <item x="13"/>
        <item x="9"/>
        <item t="default"/>
      </items>
    </pivotField>
    <pivotField dataField="1" numFmtId="3" showAll="0"/>
    <pivotField showAll="0"/>
  </pivotFields>
  <rowFields count="1">
    <field x="4"/>
  </rowFields>
  <rowItems count="15">
    <i>
      <x/>
    </i>
    <i>
      <x v="1"/>
    </i>
    <i>
      <x v="2"/>
    </i>
    <i>
      <x v="3"/>
    </i>
    <i>
      <x v="4"/>
    </i>
    <i>
      <x v="5"/>
    </i>
    <i>
      <x v="6"/>
    </i>
    <i>
      <x v="7"/>
    </i>
    <i>
      <x v="8"/>
    </i>
    <i>
      <x v="9"/>
    </i>
    <i>
      <x v="10"/>
    </i>
    <i>
      <x v="11"/>
    </i>
    <i>
      <x v="12"/>
    </i>
    <i>
      <x v="13"/>
    </i>
    <i t="grand">
      <x/>
    </i>
  </rowItems>
  <colFields count="1">
    <field x="-2"/>
  </colFields>
  <colItems count="3">
    <i>
      <x/>
    </i>
    <i i="1">
      <x v="1"/>
    </i>
    <i i="2">
      <x v="2"/>
    </i>
  </colItems>
  <dataFields count="3">
    <dataField name="Somme de SOLDE AU 31/12/2022 Avant CONSOLIDATION" fld="2" baseField="0" baseItem="0"/>
    <dataField name="Somme de SOLDE AU 31/12/2021 Avant CONSOLIDATION" fld="3" baseField="0" baseItem="0"/>
    <dataField name="Somme de Variation " fld="5" baseField="0" baseItem="0" numFmtId="3"/>
  </dataFields>
  <formats count="1">
    <format dxfId="0">
      <pivotArea outline="0" collapsedLevelsAreSubtotals="1"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18.xml.rels><?xml version="1.0" encoding="UTF-8" standalone="yes"?>
<Relationships xmlns="http://schemas.openxmlformats.org/package/2006/relationships"><Relationship Id="rId1" Type="http://schemas.openxmlformats.org/officeDocument/2006/relationships/pivotTable" Target="../pivotTables/pivotTable2.xml"/></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29.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4.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5.bin"/></Relationships>
</file>

<file path=xl/worksheets/_rels/sheet32.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33.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6.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7.bin"/></Relationships>
</file>

<file path=xl/worksheets/_rels/sheet36.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37.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38.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8.bin"/></Relationships>
</file>

<file path=xl/worksheets/_rels/sheet43.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44.xml.rels><?xml version="1.0" encoding="UTF-8" standalone="yes"?>
<Relationships xmlns="http://schemas.openxmlformats.org/package/2006/relationships"><Relationship Id="rId1" Type="http://schemas.openxmlformats.org/officeDocument/2006/relationships/drawing" Target="../drawings/drawing1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1FC3DF-1B3F-49D2-9423-F899CF461F64}">
  <sheetPr codeName="Sheet1"/>
  <dimension ref="B2:P38"/>
  <sheetViews>
    <sheetView showGridLines="0" topLeftCell="A5" zoomScale="70" zoomScaleNormal="70" workbookViewId="0">
      <selection activeCell="C47" sqref="C47"/>
    </sheetView>
  </sheetViews>
  <sheetFormatPr baseColWidth="10" defaultColWidth="11.125" defaultRowHeight="15.75"/>
  <cols>
    <col min="1" max="1" width="2.625" customWidth="1"/>
    <col min="2" max="2" width="4.875" bestFit="1" customWidth="1"/>
    <col min="3" max="3" width="75.625" bestFit="1" customWidth="1"/>
    <col min="4" max="4" width="75.875" bestFit="1" customWidth="1"/>
    <col min="5" max="5" width="58.5" bestFit="1" customWidth="1"/>
    <col min="6" max="6" width="2.625" customWidth="1"/>
    <col min="7" max="7" width="9.625" bestFit="1" customWidth="1"/>
    <col min="8" max="8" width="55.125" bestFit="1" customWidth="1"/>
    <col min="9" max="9" width="27.5" bestFit="1" customWidth="1"/>
    <col min="10" max="10" width="15.375" bestFit="1" customWidth="1"/>
    <col min="11" max="11" width="4.125" bestFit="1" customWidth="1"/>
    <col min="12" max="12" width="6" bestFit="1" customWidth="1"/>
    <col min="13" max="13" width="30.375" bestFit="1" customWidth="1"/>
    <col min="15" max="15" width="8" bestFit="1" customWidth="1"/>
    <col min="16" max="16" width="4.875" bestFit="1" customWidth="1"/>
  </cols>
  <sheetData>
    <row r="2" spans="2:16">
      <c r="E2" s="7" t="s">
        <v>44</v>
      </c>
    </row>
    <row r="3" spans="2:16" ht="19.5" thickBot="1">
      <c r="B3" s="6" t="s">
        <v>0</v>
      </c>
      <c r="H3" s="1" t="s">
        <v>10</v>
      </c>
      <c r="L3" t="s">
        <v>8</v>
      </c>
    </row>
    <row r="4" spans="2:16">
      <c r="B4" s="8"/>
      <c r="C4" s="9"/>
      <c r="D4" s="9"/>
      <c r="E4" s="10"/>
      <c r="O4" t="s">
        <v>27</v>
      </c>
    </row>
    <row r="5" spans="2:16">
      <c r="B5" s="11" t="s">
        <v>1</v>
      </c>
      <c r="C5" t="s">
        <v>69</v>
      </c>
      <c r="D5" t="s">
        <v>33</v>
      </c>
      <c r="E5" s="12" t="s">
        <v>34</v>
      </c>
      <c r="H5" s="1" t="s">
        <v>4</v>
      </c>
      <c r="I5" s="1" t="s">
        <v>9</v>
      </c>
      <c r="J5" s="2" t="s">
        <v>3</v>
      </c>
    </row>
    <row r="6" spans="2:16">
      <c r="B6" s="13"/>
      <c r="C6" s="4"/>
      <c r="D6" s="4"/>
      <c r="E6" s="14" t="s">
        <v>35</v>
      </c>
      <c r="H6" s="1"/>
      <c r="I6" s="1"/>
      <c r="J6" s="2"/>
    </row>
    <row r="7" spans="2:16">
      <c r="B7" s="11" t="s">
        <v>32</v>
      </c>
      <c r="C7" t="s">
        <v>68</v>
      </c>
      <c r="D7" t="s">
        <v>2</v>
      </c>
      <c r="E7" s="12" t="s">
        <v>36</v>
      </c>
      <c r="G7" t="s">
        <v>7</v>
      </c>
      <c r="H7">
        <v>1200</v>
      </c>
      <c r="I7">
        <v>1700</v>
      </c>
      <c r="J7" s="3">
        <f>H7+I7</f>
        <v>2900</v>
      </c>
    </row>
    <row r="8" spans="2:16">
      <c r="B8" s="13"/>
      <c r="C8" s="4"/>
      <c r="D8" s="4"/>
      <c r="E8" s="14" t="s">
        <v>37</v>
      </c>
      <c r="G8" t="s">
        <v>5</v>
      </c>
      <c r="H8">
        <v>450</v>
      </c>
      <c r="I8">
        <v>500</v>
      </c>
      <c r="J8" s="3">
        <f t="shared" ref="J8:J13" si="0">H8+I8</f>
        <v>950</v>
      </c>
      <c r="K8">
        <v>700</v>
      </c>
      <c r="L8">
        <v>950</v>
      </c>
      <c r="M8">
        <v>1200</v>
      </c>
      <c r="O8">
        <v>750</v>
      </c>
      <c r="P8">
        <f>O8-J8</f>
        <v>-200</v>
      </c>
    </row>
    <row r="9" spans="2:16">
      <c r="B9" s="11" t="s">
        <v>38</v>
      </c>
      <c r="C9" t="s">
        <v>70</v>
      </c>
      <c r="D9" t="s">
        <v>39</v>
      </c>
      <c r="E9" s="12" t="s">
        <v>40</v>
      </c>
      <c r="G9" t="s">
        <v>6</v>
      </c>
      <c r="H9">
        <v>350</v>
      </c>
      <c r="I9">
        <v>320</v>
      </c>
      <c r="J9" s="3">
        <f t="shared" si="0"/>
        <v>670</v>
      </c>
    </row>
    <row r="10" spans="2:16">
      <c r="B10" s="13"/>
      <c r="C10" s="4"/>
      <c r="D10" s="4"/>
      <c r="E10" s="14" t="s">
        <v>41</v>
      </c>
      <c r="H10" s="1" t="s">
        <v>11</v>
      </c>
      <c r="J10" s="3"/>
    </row>
    <row r="11" spans="2:16">
      <c r="B11" s="15" t="s">
        <v>42</v>
      </c>
      <c r="C11" s="5" t="s">
        <v>67</v>
      </c>
      <c r="D11" s="5" t="s">
        <v>43</v>
      </c>
      <c r="E11" s="16"/>
      <c r="H11" t="s">
        <v>4</v>
      </c>
      <c r="J11" s="3"/>
    </row>
    <row r="12" spans="2:16">
      <c r="B12" s="17"/>
      <c r="E12" s="12"/>
      <c r="G12" t="s">
        <v>7</v>
      </c>
      <c r="H12">
        <v>1100</v>
      </c>
      <c r="I12">
        <f>I7</f>
        <v>1700</v>
      </c>
      <c r="J12" s="3">
        <f>H12+I12</f>
        <v>2800</v>
      </c>
    </row>
    <row r="13" spans="2:16">
      <c r="B13" s="11" t="s">
        <v>45</v>
      </c>
      <c r="C13" s="1" t="s">
        <v>46</v>
      </c>
      <c r="E13" s="12"/>
      <c r="G13" t="s">
        <v>5</v>
      </c>
      <c r="H13">
        <v>400</v>
      </c>
      <c r="I13">
        <f>I8</f>
        <v>500</v>
      </c>
      <c r="J13" s="3">
        <f t="shared" si="0"/>
        <v>900</v>
      </c>
      <c r="O13">
        <f>O8-J13</f>
        <v>-150</v>
      </c>
    </row>
    <row r="14" spans="2:16">
      <c r="B14" s="11"/>
      <c r="C14" t="s">
        <v>64</v>
      </c>
      <c r="D14" t="s">
        <v>49</v>
      </c>
      <c r="E14" s="12" t="s">
        <v>50</v>
      </c>
      <c r="G14" t="s">
        <v>6</v>
      </c>
      <c r="H14">
        <v>300</v>
      </c>
      <c r="I14">
        <f>I9</f>
        <v>320</v>
      </c>
      <c r="J14" s="3">
        <f>H14+I14</f>
        <v>620</v>
      </c>
    </row>
    <row r="15" spans="2:16">
      <c r="B15" s="11"/>
      <c r="C15" t="s">
        <v>63</v>
      </c>
      <c r="D15" t="s">
        <v>51</v>
      </c>
      <c r="E15" s="12" t="s">
        <v>52</v>
      </c>
      <c r="J15" s="3"/>
    </row>
    <row r="16" spans="2:16">
      <c r="B16" s="17"/>
      <c r="E16" s="12"/>
    </row>
    <row r="17" spans="2:13">
      <c r="B17" s="11" t="s">
        <v>47</v>
      </c>
      <c r="C17" s="1" t="s">
        <v>48</v>
      </c>
      <c r="E17" s="12"/>
    </row>
    <row r="18" spans="2:13">
      <c r="B18" s="17"/>
      <c r="C18" t="s">
        <v>62</v>
      </c>
      <c r="E18" s="12"/>
      <c r="H18" t="s">
        <v>12</v>
      </c>
      <c r="I18" t="s">
        <v>14</v>
      </c>
    </row>
    <row r="19" spans="2:13" ht="16.5" thickBot="1">
      <c r="B19" s="18"/>
      <c r="C19" s="19"/>
      <c r="D19" s="19"/>
      <c r="E19" s="20"/>
      <c r="H19" t="s">
        <v>13</v>
      </c>
    </row>
    <row r="20" spans="2:13" ht="16.5" thickBot="1">
      <c r="G20" t="s">
        <v>5</v>
      </c>
      <c r="J20" t="s">
        <v>15</v>
      </c>
    </row>
    <row r="21" spans="2:13">
      <c r="B21" s="21" t="s">
        <v>53</v>
      </c>
      <c r="C21" s="24" t="s">
        <v>54</v>
      </c>
      <c r="D21" s="22"/>
      <c r="E21" s="23"/>
      <c r="J21" t="s">
        <v>16</v>
      </c>
    </row>
    <row r="22" spans="2:13" ht="21.95" customHeight="1">
      <c r="B22" s="11"/>
      <c r="C22" t="s">
        <v>61</v>
      </c>
      <c r="D22" t="s">
        <v>57</v>
      </c>
      <c r="E22" s="12"/>
    </row>
    <row r="23" spans="2:13" ht="21.95" customHeight="1">
      <c r="B23" s="11"/>
      <c r="C23" t="s">
        <v>60</v>
      </c>
      <c r="D23" t="s">
        <v>58</v>
      </c>
      <c r="E23" s="12"/>
    </row>
    <row r="24" spans="2:13" ht="21.95" customHeight="1">
      <c r="B24" s="11"/>
      <c r="C24" t="s">
        <v>59</v>
      </c>
      <c r="D24" t="s">
        <v>14</v>
      </c>
      <c r="E24" s="12"/>
    </row>
    <row r="25" spans="2:13">
      <c r="B25" s="11"/>
      <c r="E25" s="12"/>
    </row>
    <row r="26" spans="2:13">
      <c r="B26" s="11" t="s">
        <v>55</v>
      </c>
      <c r="C26" s="1" t="s">
        <v>56</v>
      </c>
      <c r="E26" s="12"/>
    </row>
    <row r="27" spans="2:13">
      <c r="B27" s="17"/>
      <c r="C27" t="s">
        <v>66</v>
      </c>
      <c r="D27" t="s">
        <v>57</v>
      </c>
      <c r="E27" s="12"/>
    </row>
    <row r="28" spans="2:13">
      <c r="B28" s="17"/>
      <c r="C28" t="s">
        <v>65</v>
      </c>
      <c r="D28" t="s">
        <v>58</v>
      </c>
      <c r="E28" s="12"/>
      <c r="G28" s="1" t="s">
        <v>17</v>
      </c>
      <c r="H28" t="s">
        <v>18</v>
      </c>
      <c r="M28" t="s">
        <v>19</v>
      </c>
    </row>
    <row r="29" spans="2:13" ht="16.5" thickBot="1">
      <c r="B29" s="18"/>
      <c r="C29" s="19"/>
      <c r="D29" s="19"/>
      <c r="E29" s="20"/>
      <c r="M29" t="s">
        <v>20</v>
      </c>
    </row>
    <row r="31" spans="2:13">
      <c r="G31" s="1" t="s">
        <v>21</v>
      </c>
      <c r="H31" t="s">
        <v>22</v>
      </c>
      <c r="M31" t="s">
        <v>26</v>
      </c>
    </row>
    <row r="32" spans="2:13">
      <c r="H32" t="s">
        <v>23</v>
      </c>
    </row>
    <row r="33" spans="3:13">
      <c r="H33" t="s">
        <v>25</v>
      </c>
      <c r="M33" t="s">
        <v>24</v>
      </c>
    </row>
    <row r="36" spans="3:13">
      <c r="C36" t="s">
        <v>71</v>
      </c>
      <c r="J36">
        <v>740</v>
      </c>
      <c r="L36">
        <v>50</v>
      </c>
    </row>
    <row r="37" spans="3:13">
      <c r="C37" t="s">
        <v>72</v>
      </c>
      <c r="G37" s="1243" t="s">
        <v>28</v>
      </c>
      <c r="H37" t="s">
        <v>31</v>
      </c>
      <c r="I37" t="s">
        <v>29</v>
      </c>
    </row>
    <row r="38" spans="3:13">
      <c r="G38" s="1243"/>
      <c r="H38" t="s">
        <v>21</v>
      </c>
      <c r="I38" t="s">
        <v>30</v>
      </c>
    </row>
  </sheetData>
  <mergeCells count="1">
    <mergeCell ref="G37:G38"/>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E487DD-DABA-4F56-A1C6-5F630F4FF542}">
  <sheetPr codeName="Sheet3"/>
  <dimension ref="B2:K30"/>
  <sheetViews>
    <sheetView zoomScale="70" zoomScaleNormal="70" workbookViewId="0">
      <selection activeCell="C27" sqref="C27"/>
    </sheetView>
  </sheetViews>
  <sheetFormatPr baseColWidth="10" defaultColWidth="11.125" defaultRowHeight="15.75"/>
  <cols>
    <col min="2" max="2" width="48.125" customWidth="1"/>
    <col min="3" max="3" width="19.125" customWidth="1"/>
    <col min="4" max="4" width="22.375" customWidth="1"/>
    <col min="5" max="5" width="22" customWidth="1"/>
    <col min="6" max="6" width="22.125" customWidth="1"/>
    <col min="7" max="10" width="18.875" customWidth="1"/>
  </cols>
  <sheetData>
    <row r="2" spans="2:11" ht="24" thickBot="1">
      <c r="B2" s="78" t="s">
        <v>103</v>
      </c>
      <c r="C2" s="79"/>
      <c r="D2" s="79"/>
      <c r="E2" s="79"/>
      <c r="F2" s="79"/>
      <c r="G2" s="79"/>
      <c r="H2" s="79"/>
      <c r="I2" s="79"/>
      <c r="J2" s="79"/>
    </row>
    <row r="3" spans="2:11" ht="23.25">
      <c r="B3" s="80"/>
    </row>
    <row r="4" spans="2:11">
      <c r="C4" s="31" t="s">
        <v>104</v>
      </c>
      <c r="D4" s="31" t="s">
        <v>105</v>
      </c>
      <c r="E4" s="31" t="s">
        <v>106</v>
      </c>
      <c r="F4" s="31" t="s">
        <v>107</v>
      </c>
      <c r="G4" s="31" t="s">
        <v>108</v>
      </c>
      <c r="H4" s="31" t="s">
        <v>108</v>
      </c>
      <c r="I4" s="31" t="s">
        <v>109</v>
      </c>
      <c r="K4" t="s">
        <v>110</v>
      </c>
    </row>
    <row r="5" spans="2:11" ht="33.950000000000003" customHeight="1">
      <c r="B5" s="1246" t="s">
        <v>111</v>
      </c>
      <c r="C5" s="1245" t="s">
        <v>112</v>
      </c>
      <c r="D5" s="1244" t="s">
        <v>113</v>
      </c>
      <c r="E5" s="1244" t="s">
        <v>114</v>
      </c>
      <c r="F5" s="1244" t="s">
        <v>115</v>
      </c>
      <c r="G5" s="1244" t="s">
        <v>116</v>
      </c>
      <c r="H5" s="1244" t="s">
        <v>117</v>
      </c>
      <c r="I5" s="1244" t="s">
        <v>118</v>
      </c>
      <c r="J5" s="1245" t="s">
        <v>119</v>
      </c>
      <c r="K5" t="s">
        <v>120</v>
      </c>
    </row>
    <row r="6" spans="2:11" ht="20.100000000000001" customHeight="1">
      <c r="B6" s="1246"/>
      <c r="C6" s="1245"/>
      <c r="D6" s="1247"/>
      <c r="E6" s="1244"/>
      <c r="F6" s="1244"/>
      <c r="G6" s="1244"/>
      <c r="H6" s="1244"/>
      <c r="I6" s="1244"/>
      <c r="J6" s="1245"/>
    </row>
    <row r="7" spans="2:11" ht="30.95" customHeight="1">
      <c r="B7" s="81" t="s">
        <v>80</v>
      </c>
      <c r="C7" s="33">
        <v>122104</v>
      </c>
      <c r="D7" s="33">
        <v>39303</v>
      </c>
      <c r="E7" s="33">
        <v>20000</v>
      </c>
      <c r="F7" s="33">
        <v>15000</v>
      </c>
      <c r="G7" s="33">
        <v>52492</v>
      </c>
      <c r="H7" s="33">
        <v>10000</v>
      </c>
      <c r="I7" s="33">
        <v>15300</v>
      </c>
      <c r="J7" s="33">
        <v>274199</v>
      </c>
    </row>
    <row r="8" spans="2:11" ht="30.95" customHeight="1">
      <c r="B8" s="81" t="s">
        <v>81</v>
      </c>
      <c r="C8" s="33">
        <v>1235603.0402949897</v>
      </c>
      <c r="D8" s="33">
        <v>262811.24263499095</v>
      </c>
      <c r="E8" s="33">
        <v>173410.38672770374</v>
      </c>
      <c r="F8" s="33">
        <v>110466.63445989213</v>
      </c>
      <c r="G8" s="33">
        <v>539126.97107512527</v>
      </c>
      <c r="H8" s="33">
        <v>61465.957837090173</v>
      </c>
      <c r="I8" s="33">
        <v>150704.03985510804</v>
      </c>
      <c r="J8" s="33">
        <v>2533588.2728848998</v>
      </c>
    </row>
    <row r="9" spans="2:11" ht="30.95" customHeight="1">
      <c r="B9" s="81" t="s">
        <v>82</v>
      </c>
      <c r="C9" s="35">
        <v>7040813.8391240742</v>
      </c>
      <c r="D9" s="35">
        <v>980438.48091553466</v>
      </c>
      <c r="E9" s="35">
        <v>579844.5152433709</v>
      </c>
      <c r="F9" s="35">
        <v>412988.01375000051</v>
      </c>
      <c r="G9" s="35">
        <v>1921848.8377086574</v>
      </c>
      <c r="H9" s="35">
        <v>237955.11825280031</v>
      </c>
      <c r="I9" s="35">
        <v>585597.87500000047</v>
      </c>
      <c r="J9" s="35">
        <v>11759486.679994438</v>
      </c>
    </row>
    <row r="10" spans="2:11" ht="30.95" customHeight="1">
      <c r="B10" s="81" t="s">
        <v>83</v>
      </c>
      <c r="C10" s="35">
        <v>4115317.0088495431</v>
      </c>
      <c r="D10" s="35">
        <v>894015.37522931281</v>
      </c>
      <c r="E10" s="35">
        <v>564271.26654278708</v>
      </c>
      <c r="F10" s="35">
        <v>379128.43786251103</v>
      </c>
      <c r="G10" s="35">
        <v>1735055.9197040924</v>
      </c>
      <c r="H10" s="35">
        <v>217693.01019788987</v>
      </c>
      <c r="I10" s="35">
        <v>505498.24823494197</v>
      </c>
      <c r="J10" s="35">
        <v>8410979.2666210793</v>
      </c>
    </row>
    <row r="11" spans="2:11" ht="30.95" customHeight="1">
      <c r="B11" s="82" t="s">
        <v>121</v>
      </c>
      <c r="C11" s="37">
        <v>2925496.8302745312</v>
      </c>
      <c r="D11" s="37">
        <v>86423.105686221854</v>
      </c>
      <c r="E11" s="37">
        <v>15573.248700583819</v>
      </c>
      <c r="F11" s="37">
        <v>33859.575887489482</v>
      </c>
      <c r="G11" s="37">
        <v>186792.91800456494</v>
      </c>
      <c r="H11" s="37">
        <v>20262.108054910437</v>
      </c>
      <c r="I11" s="37">
        <v>80099.626765058492</v>
      </c>
      <c r="J11" s="37">
        <v>3348507.4133733604</v>
      </c>
    </row>
    <row r="12" spans="2:11" ht="30.95" customHeight="1">
      <c r="B12" s="83" t="s">
        <v>85</v>
      </c>
      <c r="C12" s="84">
        <v>0.41550549369992767</v>
      </c>
      <c r="D12" s="84">
        <v>8.8147402788107468E-2</v>
      </c>
      <c r="E12" s="84">
        <v>2.6857628711116528E-2</v>
      </c>
      <c r="F12" s="84">
        <v>8.1986824702341463E-2</v>
      </c>
      <c r="G12" s="84">
        <v>9.7194386124181714E-2</v>
      </c>
      <c r="H12" s="84">
        <v>8.5150965458050135E-2</v>
      </c>
      <c r="I12" s="84">
        <v>0.13678264588145644</v>
      </c>
      <c r="J12" s="84">
        <v>0.28474945416366959</v>
      </c>
    </row>
    <row r="13" spans="2:11" ht="18.95" customHeight="1">
      <c r="B13" s="85"/>
      <c r="C13" s="86"/>
      <c r="D13" s="86"/>
      <c r="E13" s="86"/>
      <c r="F13" s="86"/>
      <c r="G13" s="86"/>
      <c r="H13" s="86"/>
      <c r="I13" s="86"/>
      <c r="J13" s="86"/>
    </row>
    <row r="14" spans="2:11" ht="30.95" customHeight="1">
      <c r="B14" s="87" t="s">
        <v>122</v>
      </c>
      <c r="C14" s="88">
        <v>175539.48313831771</v>
      </c>
      <c r="D14" s="88">
        <v>35748.136662202189</v>
      </c>
      <c r="E14" s="88">
        <v>24512.821238216537</v>
      </c>
      <c r="F14" s="88">
        <v>15487.89071437667</v>
      </c>
      <c r="G14" s="88">
        <v>77612.636430472368</v>
      </c>
      <c r="H14" s="88">
        <v>8959.1946741537249</v>
      </c>
      <c r="I14" s="88">
        <v>21648.61351414572</v>
      </c>
      <c r="J14" s="88">
        <v>359508.77637188602</v>
      </c>
    </row>
    <row r="15" spans="2:11" ht="30.95" customHeight="1">
      <c r="B15" s="89" t="s">
        <v>123</v>
      </c>
      <c r="C15" s="90">
        <v>6.3138287053920328E-2</v>
      </c>
      <c r="D15" s="90">
        <v>6.0431243510963427E-2</v>
      </c>
      <c r="E15" s="90">
        <v>6.2883521483310695E-2</v>
      </c>
      <c r="F15" s="90">
        <v>6.2426364140200051E-2</v>
      </c>
      <c r="G15" s="90">
        <v>6.4046838911752238E-2</v>
      </c>
      <c r="H15" s="90">
        <v>6.4329256599101103E-2</v>
      </c>
      <c r="I15" s="90">
        <v>6.375615240540719E-2</v>
      </c>
      <c r="J15" s="90">
        <v>6.3068004739755226E-2</v>
      </c>
    </row>
    <row r="16" spans="2:11" ht="17.100000000000001" customHeight="1">
      <c r="B16" s="85"/>
      <c r="C16" s="41"/>
      <c r="D16" s="41"/>
      <c r="E16" s="41"/>
      <c r="F16" s="41"/>
      <c r="G16" s="41"/>
      <c r="H16" s="41"/>
      <c r="I16" s="41"/>
      <c r="J16" s="41"/>
    </row>
    <row r="17" spans="2:10" ht="30.95" customHeight="1" thickBot="1">
      <c r="B17" s="91" t="s">
        <v>124</v>
      </c>
      <c r="C17" s="92">
        <v>3101036.313412847</v>
      </c>
      <c r="D17" s="92">
        <v>122171.24234842428</v>
      </c>
      <c r="E17" s="92">
        <v>40086.069938800298</v>
      </c>
      <c r="F17" s="92">
        <v>49347.466601866006</v>
      </c>
      <c r="G17" s="92">
        <v>264405.55443503684</v>
      </c>
      <c r="H17" s="92">
        <v>29221.302729064191</v>
      </c>
      <c r="I17" s="92">
        <v>101748.2402792041</v>
      </c>
      <c r="J17" s="92">
        <v>3708016.1897452446</v>
      </c>
    </row>
    <row r="18" spans="2:10" ht="30.95" customHeight="1" thickTop="1" thickBot="1">
      <c r="B18" s="93" t="s">
        <v>125</v>
      </c>
      <c r="C18" s="94">
        <v>0.44043719721449665</v>
      </c>
      <c r="D18" s="94">
        <v>0.12460877936404595</v>
      </c>
      <c r="E18" s="94">
        <v>6.9132446517969501E-2</v>
      </c>
      <c r="F18" s="94">
        <v>0.11948885914092933</v>
      </c>
      <c r="G18" s="94">
        <v>0.13757874669803741</v>
      </c>
      <c r="H18" s="94">
        <v>0.12280174069641094</v>
      </c>
      <c r="I18" s="94">
        <v>0.17375104081312459</v>
      </c>
      <c r="J18" s="94">
        <v>0.3153212627940149</v>
      </c>
    </row>
    <row r="19" spans="2:10" ht="30.95" customHeight="1" thickBot="1">
      <c r="B19" s="95" t="s">
        <v>126</v>
      </c>
      <c r="C19" s="96">
        <v>10.119267512079782</v>
      </c>
      <c r="D19" s="96">
        <v>6.6867985302646353</v>
      </c>
      <c r="E19" s="96">
        <v>8.6705193363851869</v>
      </c>
      <c r="F19" s="96">
        <v>7.3644422973261419</v>
      </c>
      <c r="G19" s="96">
        <v>10.270650214797023</v>
      </c>
      <c r="H19" s="96">
        <v>6.1465957837090173</v>
      </c>
      <c r="I19" s="96">
        <v>9.8499372454318976</v>
      </c>
      <c r="J19" s="96">
        <v>9.239961753634768</v>
      </c>
    </row>
    <row r="22" spans="2:10">
      <c r="E22" t="s">
        <v>127</v>
      </c>
      <c r="F22" t="s">
        <v>128</v>
      </c>
    </row>
    <row r="23" spans="2:10">
      <c r="F23" t="s">
        <v>129</v>
      </c>
    </row>
    <row r="24" spans="2:10">
      <c r="F24" t="s">
        <v>130</v>
      </c>
    </row>
    <row r="25" spans="2:10">
      <c r="F25" t="s">
        <v>131</v>
      </c>
    </row>
    <row r="26" spans="2:10">
      <c r="B26" t="s">
        <v>603</v>
      </c>
    </row>
    <row r="27" spans="2:10">
      <c r="B27" t="s">
        <v>604</v>
      </c>
      <c r="C27" s="474">
        <f>C9/C7</f>
        <v>57.662433983522853</v>
      </c>
      <c r="D27" s="474">
        <f t="shared" ref="D27:I27" si="0">D9/D7</f>
        <v>24.945639796339584</v>
      </c>
      <c r="E27" s="474">
        <f t="shared" si="0"/>
        <v>28.992225762168545</v>
      </c>
      <c r="F27" s="474">
        <f t="shared" si="0"/>
        <v>27.532534250000033</v>
      </c>
      <c r="G27" s="474">
        <f t="shared" si="0"/>
        <v>36.612223533274737</v>
      </c>
      <c r="H27" s="474">
        <f t="shared" si="0"/>
        <v>23.79551182528003</v>
      </c>
      <c r="I27" s="474">
        <f t="shared" si="0"/>
        <v>38.274370915032712</v>
      </c>
    </row>
    <row r="28" spans="2:10">
      <c r="B28" t="s">
        <v>519</v>
      </c>
      <c r="C28" s="474">
        <f>C11/C7</f>
        <v>23.959058100263146</v>
      </c>
      <c r="D28" s="474">
        <f t="shared" ref="D28:I28" si="1">D11/D7</f>
        <v>2.1988933589349884</v>
      </c>
      <c r="E28" s="474">
        <f t="shared" si="1"/>
        <v>0.77866243502919097</v>
      </c>
      <c r="F28" s="474">
        <f t="shared" si="1"/>
        <v>2.2573050591659656</v>
      </c>
      <c r="G28" s="474">
        <f t="shared" si="1"/>
        <v>3.5585025909579544</v>
      </c>
      <c r="H28" s="474">
        <f t="shared" si="1"/>
        <v>2.0262108054910439</v>
      </c>
      <c r="I28" s="474">
        <f t="shared" si="1"/>
        <v>5.2352697232064376</v>
      </c>
    </row>
    <row r="30" spans="2:10">
      <c r="C30" s="474">
        <f>43000*G28</f>
        <v>153015.61141119205</v>
      </c>
    </row>
  </sheetData>
  <mergeCells count="9">
    <mergeCell ref="H5:H6"/>
    <mergeCell ref="I5:I6"/>
    <mergeCell ref="J5:J6"/>
    <mergeCell ref="B5:B6"/>
    <mergeCell ref="C5:C6"/>
    <mergeCell ref="D5:D6"/>
    <mergeCell ref="E5:E6"/>
    <mergeCell ref="F5:F6"/>
    <mergeCell ref="G5:G6"/>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198D51-439F-484B-9F95-EDD640E7E7A1}">
  <sheetPr codeName="Sheet4"/>
  <dimension ref="A2:L33"/>
  <sheetViews>
    <sheetView zoomScale="80" zoomScaleNormal="80" workbookViewId="0">
      <selection activeCell="D9" sqref="D9"/>
    </sheetView>
  </sheetViews>
  <sheetFormatPr baseColWidth="10" defaultColWidth="8.875" defaultRowHeight="15.75"/>
  <cols>
    <col min="1" max="1" width="13.875" customWidth="1"/>
    <col min="2" max="2" width="12.875" bestFit="1" customWidth="1"/>
    <col min="3" max="3" width="11.125" bestFit="1" customWidth="1"/>
    <col min="4" max="4" width="34" bestFit="1" customWidth="1"/>
    <col min="5" max="5" width="7.625" bestFit="1" customWidth="1"/>
    <col min="6" max="6" width="14.875" bestFit="1" customWidth="1"/>
    <col min="7" max="11" width="11.25" bestFit="1" customWidth="1"/>
    <col min="12" max="12" width="11.375" bestFit="1" customWidth="1"/>
  </cols>
  <sheetData>
    <row r="2" spans="1:12" ht="18.75">
      <c r="A2" s="6" t="s">
        <v>132</v>
      </c>
    </row>
    <row r="4" spans="1:12">
      <c r="F4" s="106" t="s">
        <v>133</v>
      </c>
    </row>
    <row r="5" spans="1:12">
      <c r="A5" s="106" t="s">
        <v>134</v>
      </c>
      <c r="B5" s="106" t="s">
        <v>135</v>
      </c>
      <c r="C5" s="106" t="s">
        <v>136</v>
      </c>
      <c r="D5" s="106" t="s">
        <v>137</v>
      </c>
      <c r="E5" s="106" t="s">
        <v>138</v>
      </c>
      <c r="F5" t="s">
        <v>139</v>
      </c>
      <c r="G5" t="s">
        <v>140</v>
      </c>
      <c r="H5" t="s">
        <v>141</v>
      </c>
      <c r="I5" t="s">
        <v>142</v>
      </c>
      <c r="J5" t="s">
        <v>143</v>
      </c>
      <c r="K5" t="s">
        <v>144</v>
      </c>
      <c r="L5" t="s">
        <v>145</v>
      </c>
    </row>
    <row r="6" spans="1:12">
      <c r="A6" t="s">
        <v>146</v>
      </c>
      <c r="B6" t="s">
        <v>75</v>
      </c>
      <c r="C6" t="s">
        <v>147</v>
      </c>
      <c r="D6" t="s">
        <v>148</v>
      </c>
      <c r="F6" s="44"/>
      <c r="G6" s="44">
        <v>4000</v>
      </c>
      <c r="H6" s="44">
        <v>4000</v>
      </c>
      <c r="I6" s="44">
        <v>4000</v>
      </c>
      <c r="J6" s="97">
        <v>4000</v>
      </c>
      <c r="K6" s="44">
        <v>4000</v>
      </c>
      <c r="L6" s="44">
        <v>20000</v>
      </c>
    </row>
    <row r="7" spans="1:12">
      <c r="B7" t="s">
        <v>75</v>
      </c>
      <c r="C7" t="s">
        <v>147</v>
      </c>
      <c r="D7" t="s">
        <v>149</v>
      </c>
      <c r="F7" s="44"/>
      <c r="G7" s="44"/>
      <c r="H7" s="44"/>
      <c r="I7" s="44">
        <v>5000</v>
      </c>
      <c r="J7" s="97">
        <v>5000</v>
      </c>
      <c r="K7" s="44">
        <v>5000</v>
      </c>
      <c r="L7" s="44">
        <v>15000</v>
      </c>
    </row>
    <row r="8" spans="1:12">
      <c r="B8" t="s">
        <v>75</v>
      </c>
      <c r="C8" t="s">
        <v>147</v>
      </c>
      <c r="D8" t="s">
        <v>150</v>
      </c>
      <c r="F8" s="44"/>
      <c r="G8" s="44">
        <v>2492</v>
      </c>
      <c r="H8" s="44">
        <v>10000</v>
      </c>
      <c r="I8" s="44">
        <v>10000</v>
      </c>
      <c r="J8" s="97">
        <v>15000</v>
      </c>
      <c r="K8" s="44">
        <v>15000</v>
      </c>
      <c r="L8" s="44">
        <v>52492</v>
      </c>
    </row>
    <row r="9" spans="1:12">
      <c r="B9" t="s">
        <v>75</v>
      </c>
      <c r="C9" t="s">
        <v>147</v>
      </c>
      <c r="D9" t="s">
        <v>151</v>
      </c>
      <c r="F9" s="44"/>
      <c r="G9" s="44"/>
      <c r="H9" s="44"/>
      <c r="I9" s="44"/>
      <c r="J9" s="97">
        <v>6000</v>
      </c>
      <c r="K9" s="44">
        <v>4000</v>
      </c>
      <c r="L9" s="44">
        <v>10000</v>
      </c>
    </row>
    <row r="10" spans="1:12">
      <c r="B10" t="s">
        <v>75</v>
      </c>
      <c r="C10" t="s">
        <v>152</v>
      </c>
      <c r="F10" s="44">
        <v>20075</v>
      </c>
      <c r="G10" s="44">
        <v>23670</v>
      </c>
      <c r="H10" s="44">
        <v>21480</v>
      </c>
      <c r="I10" s="44">
        <v>18925</v>
      </c>
      <c r="J10" s="44">
        <v>19081</v>
      </c>
      <c r="K10" s="44">
        <v>18873</v>
      </c>
      <c r="L10" s="44">
        <v>122104</v>
      </c>
    </row>
    <row r="11" spans="1:12">
      <c r="B11" t="s">
        <v>75</v>
      </c>
      <c r="C11" t="s">
        <v>153</v>
      </c>
      <c r="F11" s="44">
        <v>4947</v>
      </c>
      <c r="G11" s="44">
        <v>4740</v>
      </c>
      <c r="H11" s="44">
        <v>7421</v>
      </c>
      <c r="I11" s="44">
        <v>7417</v>
      </c>
      <c r="J11" s="44">
        <v>7421</v>
      </c>
      <c r="K11" s="44">
        <v>7357</v>
      </c>
      <c r="L11" s="44">
        <v>39303</v>
      </c>
    </row>
    <row r="12" spans="1:12">
      <c r="B12" t="s">
        <v>75</v>
      </c>
      <c r="C12" t="s">
        <v>154</v>
      </c>
      <c r="F12" s="44"/>
      <c r="G12" s="44">
        <v>5300</v>
      </c>
      <c r="H12" s="44"/>
      <c r="I12" s="44"/>
      <c r="J12" s="44">
        <v>10000</v>
      </c>
      <c r="K12" s="44"/>
      <c r="L12" s="44">
        <v>15300</v>
      </c>
    </row>
    <row r="13" spans="1:12">
      <c r="A13" s="28"/>
      <c r="B13" s="98" t="s">
        <v>155</v>
      </c>
      <c r="C13" s="98"/>
      <c r="D13" s="98"/>
      <c r="E13" s="98"/>
      <c r="F13" s="99">
        <v>25022</v>
      </c>
      <c r="G13" s="99">
        <v>40202</v>
      </c>
      <c r="H13" s="99">
        <v>42901</v>
      </c>
      <c r="I13" s="99">
        <v>45342</v>
      </c>
      <c r="J13" s="100">
        <v>66502</v>
      </c>
      <c r="K13" s="101">
        <v>54230</v>
      </c>
      <c r="L13" s="99">
        <v>274199</v>
      </c>
    </row>
    <row r="14" spans="1:12">
      <c r="A14" t="s">
        <v>156</v>
      </c>
      <c r="B14" t="s">
        <v>75</v>
      </c>
      <c r="C14" t="s">
        <v>147</v>
      </c>
      <c r="D14" t="s">
        <v>148</v>
      </c>
      <c r="F14" s="57"/>
      <c r="G14" s="57">
        <v>115968.90304867423</v>
      </c>
      <c r="H14" s="57">
        <v>115968.90304867423</v>
      </c>
      <c r="I14" s="57">
        <v>115968.90304867423</v>
      </c>
      <c r="J14" s="57">
        <v>115968.90304867423</v>
      </c>
      <c r="K14" s="57">
        <v>115968.90304867423</v>
      </c>
      <c r="L14" s="57">
        <v>579844.5152433709</v>
      </c>
    </row>
    <row r="15" spans="1:12">
      <c r="B15" t="s">
        <v>75</v>
      </c>
      <c r="C15" t="s">
        <v>147</v>
      </c>
      <c r="D15" t="s">
        <v>149</v>
      </c>
      <c r="F15" s="57"/>
      <c r="G15" s="57"/>
      <c r="H15" s="57"/>
      <c r="I15" s="57">
        <v>137662.67125000013</v>
      </c>
      <c r="J15" s="57">
        <v>137662.67125000013</v>
      </c>
      <c r="K15" s="57">
        <v>137662.67125000013</v>
      </c>
      <c r="L15" s="57">
        <v>412988.01375000051</v>
      </c>
    </row>
    <row r="16" spans="1:12">
      <c r="B16" t="s">
        <v>75</v>
      </c>
      <c r="C16" t="s">
        <v>147</v>
      </c>
      <c r="D16" t="s">
        <v>150</v>
      </c>
      <c r="F16" s="57"/>
      <c r="G16" s="57">
        <v>117223.21840447812</v>
      </c>
      <c r="H16" s="57">
        <v>407999.22970142524</v>
      </c>
      <c r="I16" s="57">
        <v>403932.96171479166</v>
      </c>
      <c r="J16" s="57">
        <v>501829.05226039886</v>
      </c>
      <c r="K16" s="57">
        <v>490864.37562756275</v>
      </c>
      <c r="L16" s="57">
        <v>1921848.8377086574</v>
      </c>
    </row>
    <row r="17" spans="1:12">
      <c r="B17" t="s">
        <v>75</v>
      </c>
      <c r="C17" t="s">
        <v>147</v>
      </c>
      <c r="D17" t="s">
        <v>151</v>
      </c>
      <c r="F17" s="57"/>
      <c r="G17" s="57"/>
      <c r="H17" s="57"/>
      <c r="I17" s="57"/>
      <c r="J17" s="57">
        <v>142763.8627584643</v>
      </c>
      <c r="K17" s="57">
        <v>95191.25549433603</v>
      </c>
      <c r="L17" s="57">
        <v>237955.11825280031</v>
      </c>
    </row>
    <row r="18" spans="1:12">
      <c r="B18" t="s">
        <v>75</v>
      </c>
      <c r="C18" t="s">
        <v>152</v>
      </c>
      <c r="F18" s="57">
        <v>1129876.9953186102</v>
      </c>
      <c r="G18" s="57">
        <v>1310742.4034774369</v>
      </c>
      <c r="H18" s="57">
        <v>1232844.9505598948</v>
      </c>
      <c r="I18" s="57">
        <v>1099408.2953553561</v>
      </c>
      <c r="J18" s="57">
        <v>1116813.6326827274</v>
      </c>
      <c r="K18" s="57">
        <v>1151127.5617300482</v>
      </c>
      <c r="L18" s="57">
        <v>7040813.8391240733</v>
      </c>
    </row>
    <row r="19" spans="1:12">
      <c r="B19" t="s">
        <v>75</v>
      </c>
      <c r="C19" t="s">
        <v>153</v>
      </c>
      <c r="F19" s="57">
        <v>122311.19566077716</v>
      </c>
      <c r="G19" s="57">
        <v>118421.34512350454</v>
      </c>
      <c r="H19" s="57">
        <v>185006.24997566361</v>
      </c>
      <c r="I19" s="57">
        <v>185268.4182637764</v>
      </c>
      <c r="J19" s="57">
        <v>185006.24997566361</v>
      </c>
      <c r="K19" s="57">
        <v>184425.02191614933</v>
      </c>
      <c r="L19" s="57">
        <v>980438.48091553466</v>
      </c>
    </row>
    <row r="20" spans="1:12">
      <c r="B20" t="s">
        <v>75</v>
      </c>
      <c r="C20" t="s">
        <v>154</v>
      </c>
      <c r="F20" s="57"/>
      <c r="G20" s="57">
        <v>217781.75000000017</v>
      </c>
      <c r="H20" s="57"/>
      <c r="I20" s="57"/>
      <c r="J20" s="57">
        <v>367816.12500000023</v>
      </c>
      <c r="K20" s="57"/>
      <c r="L20" s="57">
        <v>585597.87500000047</v>
      </c>
    </row>
    <row r="21" spans="1:12">
      <c r="A21" s="28"/>
      <c r="B21" s="98" t="s">
        <v>155</v>
      </c>
      <c r="C21" s="98"/>
      <c r="D21" s="98"/>
      <c r="E21" s="98"/>
      <c r="F21" s="102">
        <v>1252188.1909793876</v>
      </c>
      <c r="G21" s="102">
        <v>1880137.6200540944</v>
      </c>
      <c r="H21" s="102">
        <v>1941819.3332856582</v>
      </c>
      <c r="I21" s="102">
        <v>1942241.2496325993</v>
      </c>
      <c r="J21" s="102">
        <v>2567860.4969759285</v>
      </c>
      <c r="K21" s="102">
        <v>2175239.7890667701</v>
      </c>
      <c r="L21" s="102">
        <v>11759486.67999443</v>
      </c>
    </row>
    <row r="22" spans="1:12">
      <c r="A22" t="s">
        <v>157</v>
      </c>
      <c r="B22" t="s">
        <v>75</v>
      </c>
      <c r="C22" t="s">
        <v>147</v>
      </c>
      <c r="D22" t="s">
        <v>148</v>
      </c>
      <c r="F22" s="103"/>
      <c r="G22" s="103">
        <v>28.992225762168555</v>
      </c>
      <c r="H22" s="103">
        <v>28.992225762168555</v>
      </c>
      <c r="I22" s="103">
        <v>28.992225762168555</v>
      </c>
      <c r="J22" s="103">
        <v>28.992225762168555</v>
      </c>
      <c r="K22" s="103">
        <v>28.992225762168555</v>
      </c>
      <c r="L22" s="103">
        <v>28.992225762168545</v>
      </c>
    </row>
    <row r="23" spans="1:12">
      <c r="B23" t="s">
        <v>75</v>
      </c>
      <c r="C23" t="s">
        <v>147</v>
      </c>
      <c r="D23" t="s">
        <v>149</v>
      </c>
      <c r="F23" s="103"/>
      <c r="G23" s="103"/>
      <c r="H23" s="103"/>
      <c r="I23" s="103">
        <v>27.532534250000026</v>
      </c>
      <c r="J23" s="103">
        <v>27.532534250000026</v>
      </c>
      <c r="K23" s="103">
        <v>27.532534250000026</v>
      </c>
      <c r="L23" s="103">
        <v>27.532534250000033</v>
      </c>
    </row>
    <row r="24" spans="1:12">
      <c r="B24" t="s">
        <v>75</v>
      </c>
      <c r="C24" t="s">
        <v>147</v>
      </c>
      <c r="D24" t="s">
        <v>150</v>
      </c>
      <c r="F24" s="103"/>
      <c r="G24" s="103">
        <v>47.039814769052214</v>
      </c>
      <c r="H24" s="103">
        <v>40.799922970142525</v>
      </c>
      <c r="I24" s="103">
        <v>40.393296171479165</v>
      </c>
      <c r="J24" s="103">
        <v>33.455270150693259</v>
      </c>
      <c r="K24" s="103">
        <v>32.724291708504182</v>
      </c>
      <c r="L24" s="103">
        <v>36.612223533274737</v>
      </c>
    </row>
    <row r="25" spans="1:12">
      <c r="B25" t="s">
        <v>75</v>
      </c>
      <c r="C25" t="s">
        <v>147</v>
      </c>
      <c r="D25" t="s">
        <v>151</v>
      </c>
      <c r="F25" s="103"/>
      <c r="G25" s="103"/>
      <c r="H25" s="103"/>
      <c r="I25" s="103"/>
      <c r="J25" s="103">
        <v>23.793977126410716</v>
      </c>
      <c r="K25" s="103">
        <v>23.797813873584008</v>
      </c>
      <c r="L25" s="103">
        <v>23.79551182528003</v>
      </c>
    </row>
    <row r="26" spans="1:12">
      <c r="B26" t="s">
        <v>75</v>
      </c>
      <c r="C26" t="s">
        <v>152</v>
      </c>
      <c r="F26" s="103">
        <v>56.282789306032889</v>
      </c>
      <c r="G26" s="103">
        <v>55.375682445181113</v>
      </c>
      <c r="H26" s="103">
        <v>57.395016320293053</v>
      </c>
      <c r="I26" s="103">
        <v>58.092908605302831</v>
      </c>
      <c r="J26" s="103">
        <v>58.53014164261451</v>
      </c>
      <c r="K26" s="103">
        <v>60.993353559585024</v>
      </c>
      <c r="L26" s="103">
        <v>57.662433983522845</v>
      </c>
    </row>
    <row r="27" spans="1:12">
      <c r="B27" t="s">
        <v>75</v>
      </c>
      <c r="C27" t="s">
        <v>153</v>
      </c>
      <c r="F27" s="103">
        <v>24.724316891202175</v>
      </c>
      <c r="G27" s="103">
        <v>24.983406144199268</v>
      </c>
      <c r="H27" s="103">
        <v>24.930097018685299</v>
      </c>
      <c r="I27" s="103">
        <v>24.978888804607848</v>
      </c>
      <c r="J27" s="103">
        <v>24.930097018685299</v>
      </c>
      <c r="K27" s="103">
        <v>25.067965463660368</v>
      </c>
      <c r="L27" s="103">
        <v>24.945639796339584</v>
      </c>
    </row>
    <row r="28" spans="1:12">
      <c r="B28" t="s">
        <v>75</v>
      </c>
      <c r="C28" t="s">
        <v>154</v>
      </c>
      <c r="F28" s="103"/>
      <c r="G28" s="103">
        <v>41.090896226415126</v>
      </c>
      <c r="H28" s="103"/>
      <c r="I28" s="103"/>
      <c r="J28" s="103">
        <v>36.781612500000023</v>
      </c>
      <c r="K28" s="103"/>
      <c r="L28" s="103">
        <v>38.274370915032712</v>
      </c>
    </row>
    <row r="29" spans="1:12">
      <c r="B29" s="104" t="s">
        <v>155</v>
      </c>
      <c r="C29" s="104"/>
      <c r="D29" s="104"/>
      <c r="E29" s="104"/>
      <c r="F29" s="105">
        <v>50.043489368531198</v>
      </c>
      <c r="G29" s="105">
        <v>46.767265809016827</v>
      </c>
      <c r="H29" s="105">
        <v>45.26279884584644</v>
      </c>
      <c r="I29" s="105">
        <v>42.835367862745343</v>
      </c>
      <c r="J29" s="105">
        <v>38.613282261825638</v>
      </c>
      <c r="K29" s="105">
        <v>40.111373576742949</v>
      </c>
      <c r="L29" s="105">
        <v>42.886686968203499</v>
      </c>
    </row>
    <row r="31" spans="1:12">
      <c r="A31" t="s">
        <v>158</v>
      </c>
      <c r="F31" s="44">
        <v>25022</v>
      </c>
      <c r="G31" s="44">
        <v>40202</v>
      </c>
      <c r="H31" s="44">
        <v>42901</v>
      </c>
      <c r="I31" s="44">
        <v>45342</v>
      </c>
      <c r="J31" s="44">
        <v>66502</v>
      </c>
      <c r="K31" s="44">
        <v>54230</v>
      </c>
      <c r="L31" s="44">
        <v>274199</v>
      </c>
    </row>
    <row r="32" spans="1:12">
      <c r="A32" t="s">
        <v>159</v>
      </c>
      <c r="F32" s="57">
        <v>1252188.1909793876</v>
      </c>
      <c r="G32" s="57">
        <v>1880137.6200540944</v>
      </c>
      <c r="H32" s="57">
        <v>1941819.3332856582</v>
      </c>
      <c r="I32" s="57">
        <v>1942241.2496325993</v>
      </c>
      <c r="J32" s="57">
        <v>2567860.4969759285</v>
      </c>
      <c r="K32" s="57">
        <v>2175239.7890667701</v>
      </c>
      <c r="L32" s="57">
        <v>11759486.67999443</v>
      </c>
    </row>
    <row r="33" spans="1:12">
      <c r="A33" t="s">
        <v>160</v>
      </c>
      <c r="F33" s="103">
        <v>50.043489368531198</v>
      </c>
      <c r="G33" s="103">
        <v>46.767265809016827</v>
      </c>
      <c r="H33" s="103">
        <v>45.26279884584644</v>
      </c>
      <c r="I33" s="103">
        <v>42.835367862745343</v>
      </c>
      <c r="J33" s="103">
        <v>38.613282261825638</v>
      </c>
      <c r="K33" s="103">
        <v>40.111373576742949</v>
      </c>
      <c r="L33" s="103">
        <v>42.886686968203499</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EC57A1-4ED4-E042-A43A-D9A44570CFB7}">
  <sheetPr codeName="Sheet5"/>
  <dimension ref="A2:P38"/>
  <sheetViews>
    <sheetView showGridLines="0" zoomScale="70" zoomScaleNormal="70" workbookViewId="0">
      <selection activeCell="C47" sqref="C47"/>
    </sheetView>
  </sheetViews>
  <sheetFormatPr baseColWidth="10" defaultColWidth="11.125" defaultRowHeight="15.75"/>
  <cols>
    <col min="1" max="1" width="2.625" customWidth="1"/>
    <col min="2" max="2" width="4.875" bestFit="1" customWidth="1"/>
    <col min="3" max="3" width="75.625" bestFit="1" customWidth="1"/>
    <col min="4" max="4" width="75.875" bestFit="1" customWidth="1"/>
    <col min="5" max="5" width="58.5" bestFit="1" customWidth="1"/>
    <col min="6" max="6" width="2.625" customWidth="1"/>
    <col min="7" max="7" width="9.625" bestFit="1" customWidth="1"/>
    <col min="8" max="8" width="55.125" bestFit="1" customWidth="1"/>
    <col min="9" max="9" width="27.5" bestFit="1" customWidth="1"/>
    <col min="10" max="10" width="15.375" bestFit="1" customWidth="1"/>
    <col min="11" max="11" width="4.125" bestFit="1" customWidth="1"/>
    <col min="12" max="12" width="6" bestFit="1" customWidth="1"/>
    <col min="13" max="13" width="30.375" bestFit="1" customWidth="1"/>
    <col min="15" max="15" width="8" bestFit="1" customWidth="1"/>
    <col min="16" max="16" width="4.875" bestFit="1" customWidth="1"/>
  </cols>
  <sheetData>
    <row r="2" spans="1:16">
      <c r="E2" s="7" t="s">
        <v>44</v>
      </c>
    </row>
    <row r="3" spans="1:16" ht="19.5" thickBot="1">
      <c r="B3" s="6" t="s">
        <v>0</v>
      </c>
      <c r="H3" s="1" t="s">
        <v>10</v>
      </c>
      <c r="L3" t="s">
        <v>8</v>
      </c>
    </row>
    <row r="4" spans="1:16">
      <c r="B4" s="8"/>
      <c r="C4" s="9"/>
      <c r="D4" s="9"/>
      <c r="E4" s="10"/>
      <c r="O4" t="s">
        <v>27</v>
      </c>
    </row>
    <row r="5" spans="1:16">
      <c r="B5" s="11" t="s">
        <v>1</v>
      </c>
      <c r="C5" t="s">
        <v>69</v>
      </c>
      <c r="D5" t="s">
        <v>33</v>
      </c>
      <c r="E5" s="12" t="s">
        <v>34</v>
      </c>
      <c r="H5" s="1" t="s">
        <v>4</v>
      </c>
      <c r="I5" s="1" t="s">
        <v>9</v>
      </c>
      <c r="J5" s="2" t="s">
        <v>3</v>
      </c>
    </row>
    <row r="6" spans="1:16">
      <c r="B6" s="13"/>
      <c r="C6" s="4"/>
      <c r="D6" s="4"/>
      <c r="E6" s="14" t="s">
        <v>35</v>
      </c>
      <c r="H6" s="1"/>
      <c r="I6" s="1"/>
      <c r="J6" s="2"/>
    </row>
    <row r="7" spans="1:16">
      <c r="A7" s="316"/>
      <c r="B7" s="11" t="s">
        <v>32</v>
      </c>
      <c r="C7" t="s">
        <v>68</v>
      </c>
      <c r="D7" t="s">
        <v>2</v>
      </c>
      <c r="E7" s="12" t="s">
        <v>36</v>
      </c>
      <c r="G7" t="s">
        <v>7</v>
      </c>
      <c r="H7">
        <v>1200</v>
      </c>
      <c r="I7">
        <v>1700</v>
      </c>
      <c r="J7" s="3">
        <f>H7+I7</f>
        <v>2900</v>
      </c>
    </row>
    <row r="8" spans="1:16">
      <c r="A8" s="316"/>
      <c r="B8" s="13"/>
      <c r="C8" s="4"/>
      <c r="D8" s="4"/>
      <c r="E8" s="14" t="s">
        <v>37</v>
      </c>
      <c r="G8" t="s">
        <v>5</v>
      </c>
      <c r="H8">
        <v>450</v>
      </c>
      <c r="I8">
        <v>500</v>
      </c>
      <c r="J8" s="3">
        <f t="shared" ref="J8:J13" si="0">H8+I8</f>
        <v>950</v>
      </c>
      <c r="K8">
        <v>700</v>
      </c>
      <c r="L8">
        <v>950</v>
      </c>
      <c r="M8">
        <v>1200</v>
      </c>
      <c r="O8">
        <v>750</v>
      </c>
      <c r="P8">
        <f>O8-J8</f>
        <v>-200</v>
      </c>
    </row>
    <row r="9" spans="1:16">
      <c r="B9" s="11" t="s">
        <v>38</v>
      </c>
      <c r="C9" t="s">
        <v>70</v>
      </c>
      <c r="D9" t="s">
        <v>39</v>
      </c>
      <c r="E9" s="12" t="s">
        <v>40</v>
      </c>
      <c r="G9" t="s">
        <v>6</v>
      </c>
      <c r="H9">
        <v>350</v>
      </c>
      <c r="I9">
        <v>320</v>
      </c>
      <c r="J9" s="3">
        <f t="shared" si="0"/>
        <v>670</v>
      </c>
    </row>
    <row r="10" spans="1:16">
      <c r="B10" s="13"/>
      <c r="C10" s="4"/>
      <c r="D10" s="4"/>
      <c r="E10" s="14" t="s">
        <v>41</v>
      </c>
      <c r="H10" s="1" t="s">
        <v>11</v>
      </c>
      <c r="J10" s="3"/>
    </row>
    <row r="11" spans="1:16">
      <c r="B11" s="15" t="s">
        <v>42</v>
      </c>
      <c r="C11" s="5" t="s">
        <v>67</v>
      </c>
      <c r="D11" s="5" t="s">
        <v>43</v>
      </c>
      <c r="E11" s="16"/>
      <c r="H11" t="s">
        <v>4</v>
      </c>
      <c r="J11" s="3"/>
    </row>
    <row r="12" spans="1:16">
      <c r="B12" s="17"/>
      <c r="E12" s="12"/>
      <c r="G12" t="s">
        <v>7</v>
      </c>
      <c r="H12">
        <v>1100</v>
      </c>
      <c r="I12">
        <f>I7</f>
        <v>1700</v>
      </c>
      <c r="J12" s="3">
        <f>H12+I12</f>
        <v>2800</v>
      </c>
    </row>
    <row r="13" spans="1:16">
      <c r="B13" s="11" t="s">
        <v>45</v>
      </c>
      <c r="C13" s="1" t="s">
        <v>46</v>
      </c>
      <c r="E13" s="12"/>
      <c r="G13" t="s">
        <v>5</v>
      </c>
      <c r="H13">
        <v>400</v>
      </c>
      <c r="I13">
        <f>I8</f>
        <v>500</v>
      </c>
      <c r="J13" s="3">
        <f t="shared" si="0"/>
        <v>900</v>
      </c>
      <c r="O13">
        <f>O8-J13</f>
        <v>-150</v>
      </c>
    </row>
    <row r="14" spans="1:16">
      <c r="B14" s="11"/>
      <c r="C14" t="s">
        <v>64</v>
      </c>
      <c r="D14" t="s">
        <v>49</v>
      </c>
      <c r="E14" s="12" t="s">
        <v>50</v>
      </c>
      <c r="G14" t="s">
        <v>6</v>
      </c>
      <c r="H14">
        <v>300</v>
      </c>
      <c r="I14">
        <f>I9</f>
        <v>320</v>
      </c>
      <c r="J14" s="3">
        <f>H14+I14</f>
        <v>620</v>
      </c>
    </row>
    <row r="15" spans="1:16">
      <c r="B15" s="11"/>
      <c r="C15" t="s">
        <v>63</v>
      </c>
      <c r="D15" t="s">
        <v>51</v>
      </c>
      <c r="E15" s="12" t="s">
        <v>52</v>
      </c>
      <c r="J15" s="3"/>
    </row>
    <row r="16" spans="1:16">
      <c r="B16" s="17"/>
      <c r="E16" s="12"/>
    </row>
    <row r="17" spans="2:13">
      <c r="B17" s="11" t="s">
        <v>47</v>
      </c>
      <c r="C17" s="1" t="s">
        <v>48</v>
      </c>
      <c r="E17" s="12"/>
    </row>
    <row r="18" spans="2:13">
      <c r="B18" s="17"/>
      <c r="C18" t="s">
        <v>62</v>
      </c>
      <c r="E18" s="12"/>
      <c r="H18" t="s">
        <v>12</v>
      </c>
      <c r="I18" t="s">
        <v>14</v>
      </c>
    </row>
    <row r="19" spans="2:13" ht="16.5" thickBot="1">
      <c r="B19" s="18"/>
      <c r="C19" s="19"/>
      <c r="D19" s="19"/>
      <c r="E19" s="20"/>
      <c r="H19" t="s">
        <v>13</v>
      </c>
    </row>
    <row r="20" spans="2:13" ht="16.5" thickBot="1">
      <c r="G20" t="s">
        <v>5</v>
      </c>
      <c r="J20" t="s">
        <v>15</v>
      </c>
    </row>
    <row r="21" spans="2:13">
      <c r="B21" s="21" t="s">
        <v>53</v>
      </c>
      <c r="C21" s="24" t="s">
        <v>54</v>
      </c>
      <c r="D21" s="22"/>
      <c r="E21" s="23"/>
      <c r="J21" t="s">
        <v>16</v>
      </c>
    </row>
    <row r="22" spans="2:13" ht="21.95" customHeight="1">
      <c r="B22" s="11"/>
      <c r="C22" t="s">
        <v>61</v>
      </c>
      <c r="D22" t="s">
        <v>57</v>
      </c>
      <c r="E22" s="12"/>
    </row>
    <row r="23" spans="2:13" ht="21.95" customHeight="1">
      <c r="B23" s="11"/>
      <c r="C23" t="s">
        <v>60</v>
      </c>
      <c r="D23" t="s">
        <v>58</v>
      </c>
      <c r="E23" s="12"/>
    </row>
    <row r="24" spans="2:13" ht="21.95" customHeight="1">
      <c r="B24" s="11"/>
      <c r="C24" t="s">
        <v>59</v>
      </c>
      <c r="D24" t="s">
        <v>14</v>
      </c>
      <c r="E24" s="12"/>
    </row>
    <row r="25" spans="2:13">
      <c r="B25" s="11"/>
      <c r="E25" s="12"/>
    </row>
    <row r="26" spans="2:13">
      <c r="B26" s="11" t="s">
        <v>55</v>
      </c>
      <c r="C26" s="1" t="s">
        <v>56</v>
      </c>
      <c r="E26" s="12"/>
    </row>
    <row r="27" spans="2:13">
      <c r="B27" s="17"/>
      <c r="C27" t="s">
        <v>66</v>
      </c>
      <c r="D27" t="s">
        <v>57</v>
      </c>
      <c r="E27" s="12"/>
    </row>
    <row r="28" spans="2:13">
      <c r="B28" s="17"/>
      <c r="C28" t="s">
        <v>65</v>
      </c>
      <c r="D28" t="s">
        <v>58</v>
      </c>
      <c r="E28" s="12"/>
      <c r="G28" s="1" t="s">
        <v>17</v>
      </c>
      <c r="H28" t="s">
        <v>18</v>
      </c>
      <c r="M28" t="s">
        <v>19</v>
      </c>
    </row>
    <row r="29" spans="2:13" ht="16.5" thickBot="1">
      <c r="B29" s="18"/>
      <c r="C29" s="19"/>
      <c r="D29" s="19"/>
      <c r="E29" s="20"/>
      <c r="M29" t="s">
        <v>20</v>
      </c>
    </row>
    <row r="31" spans="2:13">
      <c r="G31" s="1" t="s">
        <v>21</v>
      </c>
      <c r="H31" t="s">
        <v>22</v>
      </c>
      <c r="M31" t="s">
        <v>26</v>
      </c>
    </row>
    <row r="32" spans="2:13">
      <c r="H32" t="s">
        <v>23</v>
      </c>
    </row>
    <row r="33" spans="3:13">
      <c r="H33" t="s">
        <v>25</v>
      </c>
      <c r="M33" t="s">
        <v>24</v>
      </c>
    </row>
    <row r="36" spans="3:13">
      <c r="C36" t="s">
        <v>71</v>
      </c>
      <c r="J36">
        <v>740</v>
      </c>
      <c r="L36">
        <v>50</v>
      </c>
    </row>
    <row r="37" spans="3:13">
      <c r="C37" t="s">
        <v>72</v>
      </c>
      <c r="G37" s="1243" t="s">
        <v>28</v>
      </c>
      <c r="H37" t="s">
        <v>31</v>
      </c>
      <c r="I37" t="s">
        <v>29</v>
      </c>
    </row>
    <row r="38" spans="3:13">
      <c r="G38" s="1243"/>
      <c r="H38" t="s">
        <v>21</v>
      </c>
      <c r="I38" t="s">
        <v>30</v>
      </c>
    </row>
  </sheetData>
  <mergeCells count="1">
    <mergeCell ref="G37:G38"/>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330F3E-EF11-43C5-876F-5B94A946DD98}">
  <sheetPr codeName="Sheet10"/>
  <dimension ref="C2:N28"/>
  <sheetViews>
    <sheetView showGridLines="0" workbookViewId="0">
      <selection activeCell="N6" sqref="M6:N7"/>
    </sheetView>
  </sheetViews>
  <sheetFormatPr baseColWidth="10" defaultColWidth="8.875" defaultRowHeight="15.75"/>
  <cols>
    <col min="3" max="3" width="16.625" bestFit="1" customWidth="1"/>
    <col min="4" max="4" width="14.125" hidden="1" customWidth="1"/>
    <col min="5" max="5" width="12.5" hidden="1" customWidth="1"/>
    <col min="6" max="6" width="8.625" bestFit="1" customWidth="1"/>
    <col min="7" max="7" width="13.5" bestFit="1" customWidth="1"/>
    <col min="8" max="8" width="8.875" bestFit="1" customWidth="1"/>
    <col min="9" max="9" width="11" bestFit="1" customWidth="1"/>
    <col min="10" max="10" width="10.625" bestFit="1" customWidth="1"/>
  </cols>
  <sheetData>
    <row r="2" spans="3:14">
      <c r="F2" t="s">
        <v>2219</v>
      </c>
    </row>
    <row r="3" spans="3:14">
      <c r="D3" s="1248" t="s">
        <v>517</v>
      </c>
      <c r="E3" s="1248"/>
      <c r="F3" s="1248"/>
      <c r="G3" s="1248"/>
      <c r="H3" s="1248"/>
      <c r="I3" s="1248"/>
      <c r="J3" s="1248"/>
    </row>
    <row r="4" spans="3:14">
      <c r="C4" s="493" t="s">
        <v>508</v>
      </c>
      <c r="D4" s="493" t="s">
        <v>568</v>
      </c>
      <c r="E4" s="493" t="s">
        <v>567</v>
      </c>
      <c r="F4" s="493" t="s">
        <v>2249</v>
      </c>
      <c r="G4" s="493" t="s">
        <v>583</v>
      </c>
      <c r="H4" s="493" t="s">
        <v>570</v>
      </c>
      <c r="I4" s="493" t="s">
        <v>569</v>
      </c>
      <c r="J4" s="493" t="s">
        <v>571</v>
      </c>
    </row>
    <row r="5" spans="3:14">
      <c r="C5" s="493" t="s">
        <v>169</v>
      </c>
      <c r="D5" s="1240">
        <v>8852.9892378200348</v>
      </c>
      <c r="E5" s="1240">
        <v>4709.5307968852139</v>
      </c>
      <c r="F5" s="1240">
        <v>13562.520034705249</v>
      </c>
      <c r="G5" s="1240"/>
      <c r="H5" s="1240"/>
      <c r="I5" s="1240"/>
      <c r="J5" s="1240"/>
      <c r="N5">
        <f>(3.328+3.3378+3.3306)/3</f>
        <v>3.3321333333333332</v>
      </c>
    </row>
    <row r="6" spans="3:14">
      <c r="C6" s="493" t="s">
        <v>170</v>
      </c>
      <c r="D6" s="1240">
        <v>8888.7109902436005</v>
      </c>
      <c r="E6" s="1240">
        <v>3544.9037098079971</v>
      </c>
      <c r="F6" s="1240">
        <v>12433.614700051598</v>
      </c>
      <c r="G6" s="1240"/>
      <c r="H6" s="1240"/>
      <c r="I6" s="1240"/>
      <c r="J6" s="1240"/>
      <c r="M6" s="696" t="s">
        <v>2248</v>
      </c>
      <c r="N6" s="1224">
        <f>ROUNDDOWN(N5,4)</f>
        <v>3.3321000000000001</v>
      </c>
    </row>
    <row r="7" spans="3:14">
      <c r="C7" s="493" t="s">
        <v>581</v>
      </c>
      <c r="D7" s="1240">
        <v>-7131.0943182948049</v>
      </c>
      <c r="E7" s="1240">
        <v>-2582.642165584245</v>
      </c>
      <c r="F7" s="1240">
        <v>-9713.736483879049</v>
      </c>
      <c r="G7" s="1240"/>
      <c r="H7" s="1240"/>
      <c r="I7" s="1240"/>
      <c r="J7" s="1240"/>
      <c r="M7" s="696" t="s">
        <v>2247</v>
      </c>
      <c r="N7" s="696">
        <v>3.2702</v>
      </c>
    </row>
    <row r="8" spans="3:14">
      <c r="C8" s="493" t="s">
        <v>512</v>
      </c>
      <c r="D8" s="1241">
        <v>10610.60590976883</v>
      </c>
      <c r="E8" s="1241">
        <v>5671.792341108966</v>
      </c>
      <c r="F8" s="1241">
        <v>16282.398250877795</v>
      </c>
      <c r="G8" s="1241">
        <v>17306.6806940854</v>
      </c>
      <c r="H8" s="1242">
        <v>-1024.2824432076486</v>
      </c>
      <c r="I8" s="1241">
        <v>13243.298338120199</v>
      </c>
      <c r="J8" s="1241">
        <v>3039.0999127576197</v>
      </c>
    </row>
    <row r="9" spans="3:14">
      <c r="C9" s="493"/>
      <c r="D9" s="1240"/>
      <c r="E9" s="1240"/>
      <c r="F9" s="1240"/>
      <c r="G9" s="1240"/>
      <c r="H9" s="1240"/>
      <c r="I9" s="1240"/>
      <c r="J9" s="1240"/>
    </row>
    <row r="10" spans="3:14">
      <c r="C10" s="493"/>
      <c r="D10" s="1249" t="s">
        <v>5</v>
      </c>
      <c r="E10" s="1249"/>
      <c r="F10" s="1249"/>
      <c r="G10" s="1249"/>
      <c r="H10" s="1249"/>
      <c r="I10" s="1249"/>
      <c r="J10" s="1249"/>
    </row>
    <row r="11" spans="3:14">
      <c r="C11" s="493" t="s">
        <v>508</v>
      </c>
      <c r="D11" s="493" t="s">
        <v>568</v>
      </c>
      <c r="E11" s="493" t="s">
        <v>567</v>
      </c>
      <c r="F11" s="493" t="s">
        <v>2249</v>
      </c>
      <c r="G11" s="493" t="s">
        <v>583</v>
      </c>
      <c r="H11" s="493" t="s">
        <v>570</v>
      </c>
      <c r="I11" s="493" t="s">
        <v>569</v>
      </c>
      <c r="J11" s="493" t="s">
        <v>571</v>
      </c>
    </row>
    <row r="12" spans="3:14">
      <c r="C12" s="493" t="s">
        <v>169</v>
      </c>
      <c r="D12" s="1240">
        <v>1506.5013786353459</v>
      </c>
      <c r="E12" s="1240">
        <v>541.76999587651335</v>
      </c>
      <c r="F12" s="1240">
        <v>2048.271374511859</v>
      </c>
      <c r="G12" s="1240"/>
      <c r="H12" s="1240"/>
      <c r="I12" s="1240"/>
      <c r="J12" s="1240"/>
    </row>
    <row r="13" spans="3:14">
      <c r="C13" s="493" t="s">
        <v>170</v>
      </c>
      <c r="D13" s="1240">
        <v>512.63194568729864</v>
      </c>
      <c r="E13" s="1240">
        <v>537.6875230672066</v>
      </c>
      <c r="F13" s="1240">
        <v>1050.3194687545051</v>
      </c>
      <c r="G13" s="1240"/>
      <c r="H13" s="1240"/>
      <c r="I13" s="1240"/>
      <c r="J13" s="1240"/>
    </row>
    <row r="14" spans="3:14">
      <c r="C14" s="493" t="s">
        <v>582</v>
      </c>
      <c r="D14" s="1240">
        <v>-107.28866983594367</v>
      </c>
      <c r="E14" s="1240">
        <v>-65</v>
      </c>
      <c r="F14" s="1240">
        <v>-172.28866983594367</v>
      </c>
      <c r="G14" s="1240"/>
      <c r="H14" s="1240"/>
      <c r="I14" s="1240"/>
      <c r="J14" s="1240"/>
    </row>
    <row r="15" spans="3:14">
      <c r="C15" s="493" t="s">
        <v>512</v>
      </c>
      <c r="D15" s="1241">
        <v>1911.8446544867008</v>
      </c>
      <c r="E15" s="1241">
        <v>1014.4575189437201</v>
      </c>
      <c r="F15" s="1241">
        <v>2926.3021734304211</v>
      </c>
      <c r="G15" s="1241">
        <v>3785.9967423207963</v>
      </c>
      <c r="H15" s="1242">
        <v>-859.69456889037519</v>
      </c>
      <c r="I15" s="1241">
        <v>2729.1324944285061</v>
      </c>
      <c r="J15" s="1241">
        <v>197.16967900191503</v>
      </c>
    </row>
    <row r="16" spans="3:14">
      <c r="C16" s="493"/>
      <c r="D16" s="507">
        <f>D15/D8</f>
        <v>0.1801824203768165</v>
      </c>
      <c r="E16" s="507">
        <f t="shared" ref="E16:F16" si="0">E15/E8</f>
        <v>0.17886013061355668</v>
      </c>
      <c r="F16" s="507">
        <f t="shared" si="0"/>
        <v>0.17972181544402785</v>
      </c>
      <c r="G16" s="494"/>
      <c r="H16" s="495"/>
      <c r="I16" s="494"/>
      <c r="J16" s="494"/>
    </row>
    <row r="17" spans="3:10">
      <c r="C17" s="493"/>
      <c r="D17" s="494"/>
      <c r="E17" s="494"/>
      <c r="F17" s="494"/>
      <c r="G17" s="494"/>
      <c r="H17" s="495"/>
      <c r="I17" s="494"/>
      <c r="J17" s="494"/>
    </row>
    <row r="27" spans="3:10">
      <c r="F27" s="414"/>
    </row>
    <row r="28" spans="3:10">
      <c r="F28" s="415"/>
    </row>
  </sheetData>
  <mergeCells count="2">
    <mergeCell ref="D3:J3"/>
    <mergeCell ref="D10:J10"/>
  </mergeCell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13DBD1-FE50-490C-8C58-91CDDC1C25E4}">
  <sheetPr codeName="Sheet6">
    <pageSetUpPr fitToPage="1"/>
  </sheetPr>
  <dimension ref="B2:AG82"/>
  <sheetViews>
    <sheetView showGridLines="0" topLeftCell="A3" zoomScale="80" zoomScaleNormal="80" workbookViewId="0">
      <selection activeCell="F31" sqref="F31"/>
    </sheetView>
  </sheetViews>
  <sheetFormatPr baseColWidth="10" defaultColWidth="8.875" defaultRowHeight="12.75"/>
  <cols>
    <col min="1" max="1" width="8.875" style="318"/>
    <col min="2" max="2" width="6.875" style="318" customWidth="1"/>
    <col min="3" max="3" width="7.5" style="318" customWidth="1"/>
    <col min="4" max="4" width="14.5" style="318" customWidth="1"/>
    <col min="5" max="5" width="12.375" style="318" customWidth="1"/>
    <col min="6" max="6" width="12.875" style="318" customWidth="1"/>
    <col min="7" max="8" width="12.125" style="318" bestFit="1" customWidth="1"/>
    <col min="9" max="9" width="10.125" style="318" customWidth="1"/>
    <col min="10" max="10" width="17.125" style="318" customWidth="1"/>
    <col min="11" max="11" width="9.625" style="318" customWidth="1"/>
    <col min="12" max="12" width="10" style="318" bestFit="1" customWidth="1"/>
    <col min="13" max="13" width="9.125" style="318" customWidth="1"/>
    <col min="14" max="14" width="11.375" style="318" customWidth="1"/>
    <col min="15" max="15" width="20.375" style="318" customWidth="1"/>
    <col min="16" max="16" width="5.625" style="318" customWidth="1"/>
    <col min="17" max="17" width="7.875" style="318" hidden="1" customWidth="1"/>
    <col min="18" max="18" width="1.5" style="318" customWidth="1"/>
    <col min="19" max="19" width="12.375" style="318" customWidth="1"/>
    <col min="20" max="20" width="28.125" style="318" customWidth="1"/>
    <col min="21" max="21" width="12.375" style="318" customWidth="1"/>
    <col min="22" max="22" width="12.125" style="318" customWidth="1"/>
    <col min="23" max="23" width="9.875" style="318" bestFit="1" customWidth="1"/>
    <col min="24" max="24" width="20.125" style="318" customWidth="1"/>
    <col min="25" max="26" width="8.875" style="318"/>
    <col min="27" max="27" width="12.625" style="318" customWidth="1"/>
    <col min="28" max="28" width="11.625" style="318" customWidth="1"/>
    <col min="29" max="29" width="15.625" style="318" customWidth="1"/>
    <col min="30" max="30" width="16.5" style="318" customWidth="1"/>
    <col min="31" max="31" width="11.125" style="318" customWidth="1"/>
    <col min="32" max="32" width="12.875" style="318" customWidth="1"/>
    <col min="33" max="33" width="11.875" style="318" customWidth="1"/>
    <col min="34" max="259" width="8.875" style="318"/>
    <col min="260" max="260" width="12.125" style="318" customWidth="1"/>
    <col min="261" max="263" width="8.875" style="318"/>
    <col min="264" max="265" width="9.5" style="318" bestFit="1" customWidth="1"/>
    <col min="266" max="266" width="10.125" style="318" customWidth="1"/>
    <col min="267" max="267" width="8.875" style="318"/>
    <col min="268" max="268" width="8.625" style="318" customWidth="1"/>
    <col min="269" max="515" width="8.875" style="318"/>
    <col min="516" max="516" width="12.125" style="318" customWidth="1"/>
    <col min="517" max="519" width="8.875" style="318"/>
    <col min="520" max="521" width="9.5" style="318" bestFit="1" customWidth="1"/>
    <col min="522" max="522" width="10.125" style="318" customWidth="1"/>
    <col min="523" max="523" width="8.875" style="318"/>
    <col min="524" max="524" width="8.625" style="318" customWidth="1"/>
    <col min="525" max="771" width="8.875" style="318"/>
    <col min="772" max="772" width="12.125" style="318" customWidth="1"/>
    <col min="773" max="775" width="8.875" style="318"/>
    <col min="776" max="777" width="9.5" style="318" bestFit="1" customWidth="1"/>
    <col min="778" max="778" width="10.125" style="318" customWidth="1"/>
    <col min="779" max="779" width="8.875" style="318"/>
    <col min="780" max="780" width="8.625" style="318" customWidth="1"/>
    <col min="781" max="1027" width="8.875" style="318"/>
    <col min="1028" max="1028" width="12.125" style="318" customWidth="1"/>
    <col min="1029" max="1031" width="8.875" style="318"/>
    <col min="1032" max="1033" width="9.5" style="318" bestFit="1" customWidth="1"/>
    <col min="1034" max="1034" width="10.125" style="318" customWidth="1"/>
    <col min="1035" max="1035" width="8.875" style="318"/>
    <col min="1036" max="1036" width="8.625" style="318" customWidth="1"/>
    <col min="1037" max="1283" width="8.875" style="318"/>
    <col min="1284" max="1284" width="12.125" style="318" customWidth="1"/>
    <col min="1285" max="1287" width="8.875" style="318"/>
    <col min="1288" max="1289" width="9.5" style="318" bestFit="1" customWidth="1"/>
    <col min="1290" max="1290" width="10.125" style="318" customWidth="1"/>
    <col min="1291" max="1291" width="8.875" style="318"/>
    <col min="1292" max="1292" width="8.625" style="318" customWidth="1"/>
    <col min="1293" max="1539" width="8.875" style="318"/>
    <col min="1540" max="1540" width="12.125" style="318" customWidth="1"/>
    <col min="1541" max="1543" width="8.875" style="318"/>
    <col min="1544" max="1545" width="9.5" style="318" bestFit="1" customWidth="1"/>
    <col min="1546" max="1546" width="10.125" style="318" customWidth="1"/>
    <col min="1547" max="1547" width="8.875" style="318"/>
    <col min="1548" max="1548" width="8.625" style="318" customWidth="1"/>
    <col min="1549" max="1795" width="8.875" style="318"/>
    <col min="1796" max="1796" width="12.125" style="318" customWidth="1"/>
    <col min="1797" max="1799" width="8.875" style="318"/>
    <col min="1800" max="1801" width="9.5" style="318" bestFit="1" customWidth="1"/>
    <col min="1802" max="1802" width="10.125" style="318" customWidth="1"/>
    <col min="1803" max="1803" width="8.875" style="318"/>
    <col min="1804" max="1804" width="8.625" style="318" customWidth="1"/>
    <col min="1805" max="2051" width="8.875" style="318"/>
    <col min="2052" max="2052" width="12.125" style="318" customWidth="1"/>
    <col min="2053" max="2055" width="8.875" style="318"/>
    <col min="2056" max="2057" width="9.5" style="318" bestFit="1" customWidth="1"/>
    <col min="2058" max="2058" width="10.125" style="318" customWidth="1"/>
    <col min="2059" max="2059" width="8.875" style="318"/>
    <col min="2060" max="2060" width="8.625" style="318" customWidth="1"/>
    <col min="2061" max="2307" width="8.875" style="318"/>
    <col min="2308" max="2308" width="12.125" style="318" customWidth="1"/>
    <col min="2309" max="2311" width="8.875" style="318"/>
    <col min="2312" max="2313" width="9.5" style="318" bestFit="1" customWidth="1"/>
    <col min="2314" max="2314" width="10.125" style="318" customWidth="1"/>
    <col min="2315" max="2315" width="8.875" style="318"/>
    <col min="2316" max="2316" width="8.625" style="318" customWidth="1"/>
    <col min="2317" max="2563" width="8.875" style="318"/>
    <col min="2564" max="2564" width="12.125" style="318" customWidth="1"/>
    <col min="2565" max="2567" width="8.875" style="318"/>
    <col min="2568" max="2569" width="9.5" style="318" bestFit="1" customWidth="1"/>
    <col min="2570" max="2570" width="10.125" style="318" customWidth="1"/>
    <col min="2571" max="2571" width="8.875" style="318"/>
    <col min="2572" max="2572" width="8.625" style="318" customWidth="1"/>
    <col min="2573" max="2819" width="8.875" style="318"/>
    <col min="2820" max="2820" width="12.125" style="318" customWidth="1"/>
    <col min="2821" max="2823" width="8.875" style="318"/>
    <col min="2824" max="2825" width="9.5" style="318" bestFit="1" customWidth="1"/>
    <col min="2826" max="2826" width="10.125" style="318" customWidth="1"/>
    <col min="2827" max="2827" width="8.875" style="318"/>
    <col min="2828" max="2828" width="8.625" style="318" customWidth="1"/>
    <col min="2829" max="3075" width="8.875" style="318"/>
    <col min="3076" max="3076" width="12.125" style="318" customWidth="1"/>
    <col min="3077" max="3079" width="8.875" style="318"/>
    <col min="3080" max="3081" width="9.5" style="318" bestFit="1" customWidth="1"/>
    <col min="3082" max="3082" width="10.125" style="318" customWidth="1"/>
    <col min="3083" max="3083" width="8.875" style="318"/>
    <col min="3084" max="3084" width="8.625" style="318" customWidth="1"/>
    <col min="3085" max="3331" width="8.875" style="318"/>
    <col min="3332" max="3332" width="12.125" style="318" customWidth="1"/>
    <col min="3333" max="3335" width="8.875" style="318"/>
    <col min="3336" max="3337" width="9.5" style="318" bestFit="1" customWidth="1"/>
    <col min="3338" max="3338" width="10.125" style="318" customWidth="1"/>
    <col min="3339" max="3339" width="8.875" style="318"/>
    <col min="3340" max="3340" width="8.625" style="318" customWidth="1"/>
    <col min="3341" max="3587" width="8.875" style="318"/>
    <col min="3588" max="3588" width="12.125" style="318" customWidth="1"/>
    <col min="3589" max="3591" width="8.875" style="318"/>
    <col min="3592" max="3593" width="9.5" style="318" bestFit="1" customWidth="1"/>
    <col min="3594" max="3594" width="10.125" style="318" customWidth="1"/>
    <col min="3595" max="3595" width="8.875" style="318"/>
    <col min="3596" max="3596" width="8.625" style="318" customWidth="1"/>
    <col min="3597" max="3843" width="8.875" style="318"/>
    <col min="3844" max="3844" width="12.125" style="318" customWidth="1"/>
    <col min="3845" max="3847" width="8.875" style="318"/>
    <col min="3848" max="3849" width="9.5" style="318" bestFit="1" customWidth="1"/>
    <col min="3850" max="3850" width="10.125" style="318" customWidth="1"/>
    <col min="3851" max="3851" width="8.875" style="318"/>
    <col min="3852" max="3852" width="8.625" style="318" customWidth="1"/>
    <col min="3853" max="4099" width="8.875" style="318"/>
    <col min="4100" max="4100" width="12.125" style="318" customWidth="1"/>
    <col min="4101" max="4103" width="8.875" style="318"/>
    <col min="4104" max="4105" width="9.5" style="318" bestFit="1" customWidth="1"/>
    <col min="4106" max="4106" width="10.125" style="318" customWidth="1"/>
    <col min="4107" max="4107" width="8.875" style="318"/>
    <col min="4108" max="4108" width="8.625" style="318" customWidth="1"/>
    <col min="4109" max="4355" width="8.875" style="318"/>
    <col min="4356" max="4356" width="12.125" style="318" customWidth="1"/>
    <col min="4357" max="4359" width="8.875" style="318"/>
    <col min="4360" max="4361" width="9.5" style="318" bestFit="1" customWidth="1"/>
    <col min="4362" max="4362" width="10.125" style="318" customWidth="1"/>
    <col min="4363" max="4363" width="8.875" style="318"/>
    <col min="4364" max="4364" width="8.625" style="318" customWidth="1"/>
    <col min="4365" max="4611" width="8.875" style="318"/>
    <col min="4612" max="4612" width="12.125" style="318" customWidth="1"/>
    <col min="4613" max="4615" width="8.875" style="318"/>
    <col min="4616" max="4617" width="9.5" style="318" bestFit="1" customWidth="1"/>
    <col min="4618" max="4618" width="10.125" style="318" customWidth="1"/>
    <col min="4619" max="4619" width="8.875" style="318"/>
    <col min="4620" max="4620" width="8.625" style="318" customWidth="1"/>
    <col min="4621" max="4867" width="8.875" style="318"/>
    <col min="4868" max="4868" width="12.125" style="318" customWidth="1"/>
    <col min="4869" max="4871" width="8.875" style="318"/>
    <col min="4872" max="4873" width="9.5" style="318" bestFit="1" customWidth="1"/>
    <col min="4874" max="4874" width="10.125" style="318" customWidth="1"/>
    <col min="4875" max="4875" width="8.875" style="318"/>
    <col min="4876" max="4876" width="8.625" style="318" customWidth="1"/>
    <col min="4877" max="5123" width="8.875" style="318"/>
    <col min="5124" max="5124" width="12.125" style="318" customWidth="1"/>
    <col min="5125" max="5127" width="8.875" style="318"/>
    <col min="5128" max="5129" width="9.5" style="318" bestFit="1" customWidth="1"/>
    <col min="5130" max="5130" width="10.125" style="318" customWidth="1"/>
    <col min="5131" max="5131" width="8.875" style="318"/>
    <col min="5132" max="5132" width="8.625" style="318" customWidth="1"/>
    <col min="5133" max="5379" width="8.875" style="318"/>
    <col min="5380" max="5380" width="12.125" style="318" customWidth="1"/>
    <col min="5381" max="5383" width="8.875" style="318"/>
    <col min="5384" max="5385" width="9.5" style="318" bestFit="1" customWidth="1"/>
    <col min="5386" max="5386" width="10.125" style="318" customWidth="1"/>
    <col min="5387" max="5387" width="8.875" style="318"/>
    <col min="5388" max="5388" width="8.625" style="318" customWidth="1"/>
    <col min="5389" max="5635" width="8.875" style="318"/>
    <col min="5636" max="5636" width="12.125" style="318" customWidth="1"/>
    <col min="5637" max="5639" width="8.875" style="318"/>
    <col min="5640" max="5641" width="9.5" style="318" bestFit="1" customWidth="1"/>
    <col min="5642" max="5642" width="10.125" style="318" customWidth="1"/>
    <col min="5643" max="5643" width="8.875" style="318"/>
    <col min="5644" max="5644" width="8.625" style="318" customWidth="1"/>
    <col min="5645" max="5891" width="8.875" style="318"/>
    <col min="5892" max="5892" width="12.125" style="318" customWidth="1"/>
    <col min="5893" max="5895" width="8.875" style="318"/>
    <col min="5896" max="5897" width="9.5" style="318" bestFit="1" customWidth="1"/>
    <col min="5898" max="5898" width="10.125" style="318" customWidth="1"/>
    <col min="5899" max="5899" width="8.875" style="318"/>
    <col min="5900" max="5900" width="8.625" style="318" customWidth="1"/>
    <col min="5901" max="6147" width="8.875" style="318"/>
    <col min="6148" max="6148" width="12.125" style="318" customWidth="1"/>
    <col min="6149" max="6151" width="8.875" style="318"/>
    <col min="6152" max="6153" width="9.5" style="318" bestFit="1" customWidth="1"/>
    <col min="6154" max="6154" width="10.125" style="318" customWidth="1"/>
    <col min="6155" max="6155" width="8.875" style="318"/>
    <col min="6156" max="6156" width="8.625" style="318" customWidth="1"/>
    <col min="6157" max="6403" width="8.875" style="318"/>
    <col min="6404" max="6404" width="12.125" style="318" customWidth="1"/>
    <col min="6405" max="6407" width="8.875" style="318"/>
    <col min="6408" max="6409" width="9.5" style="318" bestFit="1" customWidth="1"/>
    <col min="6410" max="6410" width="10.125" style="318" customWidth="1"/>
    <col min="6411" max="6411" width="8.875" style="318"/>
    <col min="6412" max="6412" width="8.625" style="318" customWidth="1"/>
    <col min="6413" max="6659" width="8.875" style="318"/>
    <col min="6660" max="6660" width="12.125" style="318" customWidth="1"/>
    <col min="6661" max="6663" width="8.875" style="318"/>
    <col min="6664" max="6665" width="9.5" style="318" bestFit="1" customWidth="1"/>
    <col min="6666" max="6666" width="10.125" style="318" customWidth="1"/>
    <col min="6667" max="6667" width="8.875" style="318"/>
    <col min="6668" max="6668" width="8.625" style="318" customWidth="1"/>
    <col min="6669" max="6915" width="8.875" style="318"/>
    <col min="6916" max="6916" width="12.125" style="318" customWidth="1"/>
    <col min="6917" max="6919" width="8.875" style="318"/>
    <col min="6920" max="6921" width="9.5" style="318" bestFit="1" customWidth="1"/>
    <col min="6922" max="6922" width="10.125" style="318" customWidth="1"/>
    <col min="6923" max="6923" width="8.875" style="318"/>
    <col min="6924" max="6924" width="8.625" style="318" customWidth="1"/>
    <col min="6925" max="7171" width="8.875" style="318"/>
    <col min="7172" max="7172" width="12.125" style="318" customWidth="1"/>
    <col min="7173" max="7175" width="8.875" style="318"/>
    <col min="7176" max="7177" width="9.5" style="318" bestFit="1" customWidth="1"/>
    <col min="7178" max="7178" width="10.125" style="318" customWidth="1"/>
    <col min="7179" max="7179" width="8.875" style="318"/>
    <col min="7180" max="7180" width="8.625" style="318" customWidth="1"/>
    <col min="7181" max="7427" width="8.875" style="318"/>
    <col min="7428" max="7428" width="12.125" style="318" customWidth="1"/>
    <col min="7429" max="7431" width="8.875" style="318"/>
    <col min="7432" max="7433" width="9.5" style="318" bestFit="1" customWidth="1"/>
    <col min="7434" max="7434" width="10.125" style="318" customWidth="1"/>
    <col min="7435" max="7435" width="8.875" style="318"/>
    <col min="7436" max="7436" width="8.625" style="318" customWidth="1"/>
    <col min="7437" max="7683" width="8.875" style="318"/>
    <col min="7684" max="7684" width="12.125" style="318" customWidth="1"/>
    <col min="7685" max="7687" width="8.875" style="318"/>
    <col min="7688" max="7689" width="9.5" style="318" bestFit="1" customWidth="1"/>
    <col min="7690" max="7690" width="10.125" style="318" customWidth="1"/>
    <col min="7691" max="7691" width="8.875" style="318"/>
    <col min="7692" max="7692" width="8.625" style="318" customWidth="1"/>
    <col min="7693" max="7939" width="8.875" style="318"/>
    <col min="7940" max="7940" width="12.125" style="318" customWidth="1"/>
    <col min="7941" max="7943" width="8.875" style="318"/>
    <col min="7944" max="7945" width="9.5" style="318" bestFit="1" customWidth="1"/>
    <col min="7946" max="7946" width="10.125" style="318" customWidth="1"/>
    <col min="7947" max="7947" width="8.875" style="318"/>
    <col min="7948" max="7948" width="8.625" style="318" customWidth="1"/>
    <col min="7949" max="8195" width="8.875" style="318"/>
    <col min="8196" max="8196" width="12.125" style="318" customWidth="1"/>
    <col min="8197" max="8199" width="8.875" style="318"/>
    <col min="8200" max="8201" width="9.5" style="318" bestFit="1" customWidth="1"/>
    <col min="8202" max="8202" width="10.125" style="318" customWidth="1"/>
    <col min="8203" max="8203" width="8.875" style="318"/>
    <col min="8204" max="8204" width="8.625" style="318" customWidth="1"/>
    <col min="8205" max="8451" width="8.875" style="318"/>
    <col min="8452" max="8452" width="12.125" style="318" customWidth="1"/>
    <col min="8453" max="8455" width="8.875" style="318"/>
    <col min="8456" max="8457" width="9.5" style="318" bestFit="1" customWidth="1"/>
    <col min="8458" max="8458" width="10.125" style="318" customWidth="1"/>
    <col min="8459" max="8459" width="8.875" style="318"/>
    <col min="8460" max="8460" width="8.625" style="318" customWidth="1"/>
    <col min="8461" max="8707" width="8.875" style="318"/>
    <col min="8708" max="8708" width="12.125" style="318" customWidth="1"/>
    <col min="8709" max="8711" width="8.875" style="318"/>
    <col min="8712" max="8713" width="9.5" style="318" bestFit="1" customWidth="1"/>
    <col min="8714" max="8714" width="10.125" style="318" customWidth="1"/>
    <col min="8715" max="8715" width="8.875" style="318"/>
    <col min="8716" max="8716" width="8.625" style="318" customWidth="1"/>
    <col min="8717" max="8963" width="8.875" style="318"/>
    <col min="8964" max="8964" width="12.125" style="318" customWidth="1"/>
    <col min="8965" max="8967" width="8.875" style="318"/>
    <col min="8968" max="8969" width="9.5" style="318" bestFit="1" customWidth="1"/>
    <col min="8970" max="8970" width="10.125" style="318" customWidth="1"/>
    <col min="8971" max="8971" width="8.875" style="318"/>
    <col min="8972" max="8972" width="8.625" style="318" customWidth="1"/>
    <col min="8973" max="9219" width="8.875" style="318"/>
    <col min="9220" max="9220" width="12.125" style="318" customWidth="1"/>
    <col min="9221" max="9223" width="8.875" style="318"/>
    <col min="9224" max="9225" width="9.5" style="318" bestFit="1" customWidth="1"/>
    <col min="9226" max="9226" width="10.125" style="318" customWidth="1"/>
    <col min="9227" max="9227" width="8.875" style="318"/>
    <col min="9228" max="9228" width="8.625" style="318" customWidth="1"/>
    <col min="9229" max="9475" width="8.875" style="318"/>
    <col min="9476" max="9476" width="12.125" style="318" customWidth="1"/>
    <col min="9477" max="9479" width="8.875" style="318"/>
    <col min="9480" max="9481" width="9.5" style="318" bestFit="1" customWidth="1"/>
    <col min="9482" max="9482" width="10.125" style="318" customWidth="1"/>
    <col min="9483" max="9483" width="8.875" style="318"/>
    <col min="9484" max="9484" width="8.625" style="318" customWidth="1"/>
    <col min="9485" max="9731" width="8.875" style="318"/>
    <col min="9732" max="9732" width="12.125" style="318" customWidth="1"/>
    <col min="9733" max="9735" width="8.875" style="318"/>
    <col min="9736" max="9737" width="9.5" style="318" bestFit="1" customWidth="1"/>
    <col min="9738" max="9738" width="10.125" style="318" customWidth="1"/>
    <col min="9739" max="9739" width="8.875" style="318"/>
    <col min="9740" max="9740" width="8.625" style="318" customWidth="1"/>
    <col min="9741" max="9987" width="8.875" style="318"/>
    <col min="9988" max="9988" width="12.125" style="318" customWidth="1"/>
    <col min="9989" max="9991" width="8.875" style="318"/>
    <col min="9992" max="9993" width="9.5" style="318" bestFit="1" customWidth="1"/>
    <col min="9994" max="9994" width="10.125" style="318" customWidth="1"/>
    <col min="9995" max="9995" width="8.875" style="318"/>
    <col min="9996" max="9996" width="8.625" style="318" customWidth="1"/>
    <col min="9997" max="10243" width="8.875" style="318"/>
    <col min="10244" max="10244" width="12.125" style="318" customWidth="1"/>
    <col min="10245" max="10247" width="8.875" style="318"/>
    <col min="10248" max="10249" width="9.5" style="318" bestFit="1" customWidth="1"/>
    <col min="10250" max="10250" width="10.125" style="318" customWidth="1"/>
    <col min="10251" max="10251" width="8.875" style="318"/>
    <col min="10252" max="10252" width="8.625" style="318" customWidth="1"/>
    <col min="10253" max="10499" width="8.875" style="318"/>
    <col min="10500" max="10500" width="12.125" style="318" customWidth="1"/>
    <col min="10501" max="10503" width="8.875" style="318"/>
    <col min="10504" max="10505" width="9.5" style="318" bestFit="1" customWidth="1"/>
    <col min="10506" max="10506" width="10.125" style="318" customWidth="1"/>
    <col min="10507" max="10507" width="8.875" style="318"/>
    <col min="10508" max="10508" width="8.625" style="318" customWidth="1"/>
    <col min="10509" max="10755" width="8.875" style="318"/>
    <col min="10756" max="10756" width="12.125" style="318" customWidth="1"/>
    <col min="10757" max="10759" width="8.875" style="318"/>
    <col min="10760" max="10761" width="9.5" style="318" bestFit="1" customWidth="1"/>
    <col min="10762" max="10762" width="10.125" style="318" customWidth="1"/>
    <col min="10763" max="10763" width="8.875" style="318"/>
    <col min="10764" max="10764" width="8.625" style="318" customWidth="1"/>
    <col min="10765" max="11011" width="8.875" style="318"/>
    <col min="11012" max="11012" width="12.125" style="318" customWidth="1"/>
    <col min="11013" max="11015" width="8.875" style="318"/>
    <col min="11016" max="11017" width="9.5" style="318" bestFit="1" customWidth="1"/>
    <col min="11018" max="11018" width="10.125" style="318" customWidth="1"/>
    <col min="11019" max="11019" width="8.875" style="318"/>
    <col min="11020" max="11020" width="8.625" style="318" customWidth="1"/>
    <col min="11021" max="11267" width="8.875" style="318"/>
    <col min="11268" max="11268" width="12.125" style="318" customWidth="1"/>
    <col min="11269" max="11271" width="8.875" style="318"/>
    <col min="11272" max="11273" width="9.5" style="318" bestFit="1" customWidth="1"/>
    <col min="11274" max="11274" width="10.125" style="318" customWidth="1"/>
    <col min="11275" max="11275" width="8.875" style="318"/>
    <col min="11276" max="11276" width="8.625" style="318" customWidth="1"/>
    <col min="11277" max="11523" width="8.875" style="318"/>
    <col min="11524" max="11524" width="12.125" style="318" customWidth="1"/>
    <col min="11525" max="11527" width="8.875" style="318"/>
    <col min="11528" max="11529" width="9.5" style="318" bestFit="1" customWidth="1"/>
    <col min="11530" max="11530" width="10.125" style="318" customWidth="1"/>
    <col min="11531" max="11531" width="8.875" style="318"/>
    <col min="11532" max="11532" width="8.625" style="318" customWidth="1"/>
    <col min="11533" max="11779" width="8.875" style="318"/>
    <col min="11780" max="11780" width="12.125" style="318" customWidth="1"/>
    <col min="11781" max="11783" width="8.875" style="318"/>
    <col min="11784" max="11785" width="9.5" style="318" bestFit="1" customWidth="1"/>
    <col min="11786" max="11786" width="10.125" style="318" customWidth="1"/>
    <col min="11787" max="11787" width="8.875" style="318"/>
    <col min="11788" max="11788" width="8.625" style="318" customWidth="1"/>
    <col min="11789" max="12035" width="8.875" style="318"/>
    <col min="12036" max="12036" width="12.125" style="318" customWidth="1"/>
    <col min="12037" max="12039" width="8.875" style="318"/>
    <col min="12040" max="12041" width="9.5" style="318" bestFit="1" customWidth="1"/>
    <col min="12042" max="12042" width="10.125" style="318" customWidth="1"/>
    <col min="12043" max="12043" width="8.875" style="318"/>
    <col min="12044" max="12044" width="8.625" style="318" customWidth="1"/>
    <col min="12045" max="12291" width="8.875" style="318"/>
    <col min="12292" max="12292" width="12.125" style="318" customWidth="1"/>
    <col min="12293" max="12295" width="8.875" style="318"/>
    <col min="12296" max="12297" width="9.5" style="318" bestFit="1" customWidth="1"/>
    <col min="12298" max="12298" width="10.125" style="318" customWidth="1"/>
    <col min="12299" max="12299" width="8.875" style="318"/>
    <col min="12300" max="12300" width="8.625" style="318" customWidth="1"/>
    <col min="12301" max="12547" width="8.875" style="318"/>
    <col min="12548" max="12548" width="12.125" style="318" customWidth="1"/>
    <col min="12549" max="12551" width="8.875" style="318"/>
    <col min="12552" max="12553" width="9.5" style="318" bestFit="1" customWidth="1"/>
    <col min="12554" max="12554" width="10.125" style="318" customWidth="1"/>
    <col min="12555" max="12555" width="8.875" style="318"/>
    <col min="12556" max="12556" width="8.625" style="318" customWidth="1"/>
    <col min="12557" max="12803" width="8.875" style="318"/>
    <col min="12804" max="12804" width="12.125" style="318" customWidth="1"/>
    <col min="12805" max="12807" width="8.875" style="318"/>
    <col min="12808" max="12809" width="9.5" style="318" bestFit="1" customWidth="1"/>
    <col min="12810" max="12810" width="10.125" style="318" customWidth="1"/>
    <col min="12811" max="12811" width="8.875" style="318"/>
    <col min="12812" max="12812" width="8.625" style="318" customWidth="1"/>
    <col min="12813" max="13059" width="8.875" style="318"/>
    <col min="13060" max="13060" width="12.125" style="318" customWidth="1"/>
    <col min="13061" max="13063" width="8.875" style="318"/>
    <col min="13064" max="13065" width="9.5" style="318" bestFit="1" customWidth="1"/>
    <col min="13066" max="13066" width="10.125" style="318" customWidth="1"/>
    <col min="13067" max="13067" width="8.875" style="318"/>
    <col min="13068" max="13068" width="8.625" style="318" customWidth="1"/>
    <col min="13069" max="13315" width="8.875" style="318"/>
    <col min="13316" max="13316" width="12.125" style="318" customWidth="1"/>
    <col min="13317" max="13319" width="8.875" style="318"/>
    <col min="13320" max="13321" width="9.5" style="318" bestFit="1" customWidth="1"/>
    <col min="13322" max="13322" width="10.125" style="318" customWidth="1"/>
    <col min="13323" max="13323" width="8.875" style="318"/>
    <col min="13324" max="13324" width="8.625" style="318" customWidth="1"/>
    <col min="13325" max="13571" width="8.875" style="318"/>
    <col min="13572" max="13572" width="12.125" style="318" customWidth="1"/>
    <col min="13573" max="13575" width="8.875" style="318"/>
    <col min="13576" max="13577" width="9.5" style="318" bestFit="1" customWidth="1"/>
    <col min="13578" max="13578" width="10.125" style="318" customWidth="1"/>
    <col min="13579" max="13579" width="8.875" style="318"/>
    <col min="13580" max="13580" width="8.625" style="318" customWidth="1"/>
    <col min="13581" max="13827" width="8.875" style="318"/>
    <col min="13828" max="13828" width="12.125" style="318" customWidth="1"/>
    <col min="13829" max="13831" width="8.875" style="318"/>
    <col min="13832" max="13833" width="9.5" style="318" bestFit="1" customWidth="1"/>
    <col min="13834" max="13834" width="10.125" style="318" customWidth="1"/>
    <col min="13835" max="13835" width="8.875" style="318"/>
    <col min="13836" max="13836" width="8.625" style="318" customWidth="1"/>
    <col min="13837" max="14083" width="8.875" style="318"/>
    <col min="14084" max="14084" width="12.125" style="318" customWidth="1"/>
    <col min="14085" max="14087" width="8.875" style="318"/>
    <col min="14088" max="14089" width="9.5" style="318" bestFit="1" customWidth="1"/>
    <col min="14090" max="14090" width="10.125" style="318" customWidth="1"/>
    <col min="14091" max="14091" width="8.875" style="318"/>
    <col min="14092" max="14092" width="8.625" style="318" customWidth="1"/>
    <col min="14093" max="14339" width="8.875" style="318"/>
    <col min="14340" max="14340" width="12.125" style="318" customWidth="1"/>
    <col min="14341" max="14343" width="8.875" style="318"/>
    <col min="14344" max="14345" width="9.5" style="318" bestFit="1" customWidth="1"/>
    <col min="14346" max="14346" width="10.125" style="318" customWidth="1"/>
    <col min="14347" max="14347" width="8.875" style="318"/>
    <col min="14348" max="14348" width="8.625" style="318" customWidth="1"/>
    <col min="14349" max="14595" width="8.875" style="318"/>
    <col min="14596" max="14596" width="12.125" style="318" customWidth="1"/>
    <col min="14597" max="14599" width="8.875" style="318"/>
    <col min="14600" max="14601" width="9.5" style="318" bestFit="1" customWidth="1"/>
    <col min="14602" max="14602" width="10.125" style="318" customWidth="1"/>
    <col min="14603" max="14603" width="8.875" style="318"/>
    <col min="14604" max="14604" width="8.625" style="318" customWidth="1"/>
    <col min="14605" max="14851" width="8.875" style="318"/>
    <col min="14852" max="14852" width="12.125" style="318" customWidth="1"/>
    <col min="14853" max="14855" width="8.875" style="318"/>
    <col min="14856" max="14857" width="9.5" style="318" bestFit="1" customWidth="1"/>
    <col min="14858" max="14858" width="10.125" style="318" customWidth="1"/>
    <col min="14859" max="14859" width="8.875" style="318"/>
    <col min="14860" max="14860" width="8.625" style="318" customWidth="1"/>
    <col min="14861" max="15107" width="8.875" style="318"/>
    <col min="15108" max="15108" width="12.125" style="318" customWidth="1"/>
    <col min="15109" max="15111" width="8.875" style="318"/>
    <col min="15112" max="15113" width="9.5" style="318" bestFit="1" customWidth="1"/>
    <col min="15114" max="15114" width="10.125" style="318" customWidth="1"/>
    <col min="15115" max="15115" width="8.875" style="318"/>
    <col min="15116" max="15116" width="8.625" style="318" customWidth="1"/>
    <col min="15117" max="15363" width="8.875" style="318"/>
    <col min="15364" max="15364" width="12.125" style="318" customWidth="1"/>
    <col min="15365" max="15367" width="8.875" style="318"/>
    <col min="15368" max="15369" width="9.5" style="318" bestFit="1" customWidth="1"/>
    <col min="15370" max="15370" width="10.125" style="318" customWidth="1"/>
    <col min="15371" max="15371" width="8.875" style="318"/>
    <col min="15372" max="15372" width="8.625" style="318" customWidth="1"/>
    <col min="15373" max="15619" width="8.875" style="318"/>
    <col min="15620" max="15620" width="12.125" style="318" customWidth="1"/>
    <col min="15621" max="15623" width="8.875" style="318"/>
    <col min="15624" max="15625" width="9.5" style="318" bestFit="1" customWidth="1"/>
    <col min="15626" max="15626" width="10.125" style="318" customWidth="1"/>
    <col min="15627" max="15627" width="8.875" style="318"/>
    <col min="15628" max="15628" width="8.625" style="318" customWidth="1"/>
    <col min="15629" max="15875" width="8.875" style="318"/>
    <col min="15876" max="15876" width="12.125" style="318" customWidth="1"/>
    <col min="15877" max="15879" width="8.875" style="318"/>
    <col min="15880" max="15881" width="9.5" style="318" bestFit="1" customWidth="1"/>
    <col min="15882" max="15882" width="10.125" style="318" customWidth="1"/>
    <col min="15883" max="15883" width="8.875" style="318"/>
    <col min="15884" max="15884" width="8.625" style="318" customWidth="1"/>
    <col min="15885" max="16131" width="8.875" style="318"/>
    <col min="16132" max="16132" width="12.125" style="318" customWidth="1"/>
    <col min="16133" max="16135" width="8.875" style="318"/>
    <col min="16136" max="16137" width="9.5" style="318" bestFit="1" customWidth="1"/>
    <col min="16138" max="16138" width="10.125" style="318" customWidth="1"/>
    <col min="16139" max="16139" width="8.875" style="318"/>
    <col min="16140" max="16140" width="8.625" style="318" customWidth="1"/>
    <col min="16141" max="16384" width="8.875" style="318"/>
  </cols>
  <sheetData>
    <row r="2" spans="2:20" ht="18.75">
      <c r="C2" s="317"/>
    </row>
    <row r="3" spans="2:20" ht="20.100000000000001" customHeight="1">
      <c r="B3" s="476"/>
      <c r="C3" s="477"/>
      <c r="D3" s="477"/>
      <c r="E3" s="477"/>
      <c r="F3" s="477"/>
      <c r="G3" s="477"/>
      <c r="H3" s="477"/>
      <c r="I3" s="477"/>
      <c r="J3" s="477"/>
      <c r="K3" s="477"/>
      <c r="L3" s="477"/>
      <c r="M3" s="478"/>
    </row>
    <row r="4" spans="2:20">
      <c r="B4" s="479"/>
      <c r="C4" s="319"/>
      <c r="D4" s="320"/>
      <c r="E4" s="320"/>
      <c r="F4" s="320"/>
      <c r="G4" s="320"/>
      <c r="H4" s="320"/>
      <c r="I4" s="320"/>
      <c r="J4" s="320"/>
      <c r="K4" s="320"/>
      <c r="L4" s="320"/>
      <c r="M4" s="480"/>
      <c r="Q4" s="320"/>
    </row>
    <row r="5" spans="2:20">
      <c r="B5" s="479"/>
      <c r="C5" s="321" t="s">
        <v>515</v>
      </c>
      <c r="D5" s="475"/>
      <c r="E5" s="322"/>
      <c r="F5" s="322"/>
      <c r="G5" s="322"/>
      <c r="H5" s="322"/>
      <c r="I5" s="322"/>
      <c r="J5" s="322"/>
      <c r="K5" s="322"/>
      <c r="L5" s="322"/>
      <c r="M5" s="480"/>
      <c r="Q5" s="322"/>
    </row>
    <row r="6" spans="2:20" ht="18.75" customHeight="1">
      <c r="B6" s="479"/>
      <c r="C6" s="323"/>
      <c r="D6" s="1250" t="s">
        <v>516</v>
      </c>
      <c r="E6" s="1250"/>
      <c r="F6" s="1250"/>
      <c r="G6" s="1250"/>
      <c r="H6" s="1250"/>
      <c r="I6" s="1250"/>
      <c r="J6" s="1250"/>
      <c r="K6" s="1250"/>
      <c r="L6" s="1250"/>
      <c r="M6" s="480"/>
      <c r="Q6" s="341"/>
    </row>
    <row r="7" spans="2:20">
      <c r="B7" s="479"/>
      <c r="C7" s="324"/>
      <c r="D7" s="322"/>
      <c r="E7" s="322"/>
      <c r="F7" s="322"/>
      <c r="G7" s="322"/>
      <c r="H7" s="322"/>
      <c r="I7" s="322"/>
      <c r="J7" s="322"/>
      <c r="K7" s="322"/>
      <c r="L7" s="322"/>
      <c r="M7" s="480"/>
      <c r="Q7" s="322"/>
      <c r="S7" s="325"/>
      <c r="T7" s="325"/>
    </row>
    <row r="8" spans="2:20">
      <c r="B8" s="479"/>
      <c r="C8" s="324"/>
      <c r="D8" s="322"/>
      <c r="E8" s="322"/>
      <c r="F8" s="322"/>
      <c r="G8" s="322"/>
      <c r="H8" s="322"/>
      <c r="I8" s="322"/>
      <c r="J8" s="322"/>
      <c r="K8" s="322"/>
      <c r="L8" s="322"/>
      <c r="M8" s="480"/>
      <c r="Q8" s="322"/>
    </row>
    <row r="9" spans="2:20">
      <c r="B9" s="479"/>
      <c r="C9" s="324"/>
      <c r="D9" s="322"/>
      <c r="E9" s="322"/>
      <c r="F9" s="322"/>
      <c r="G9" s="322"/>
      <c r="H9" s="322"/>
      <c r="I9" s="322"/>
      <c r="J9" s="322"/>
      <c r="K9" s="322"/>
      <c r="L9" s="322"/>
      <c r="M9" s="480"/>
      <c r="Q9" s="322"/>
    </row>
    <row r="10" spans="2:20">
      <c r="B10" s="479"/>
      <c r="C10" s="324"/>
      <c r="D10" s="322"/>
      <c r="E10" s="322"/>
      <c r="F10" s="322"/>
      <c r="G10" s="322"/>
      <c r="H10" s="322"/>
      <c r="I10" s="322"/>
      <c r="J10" s="322"/>
      <c r="K10" s="322"/>
      <c r="L10" s="322"/>
      <c r="M10" s="480"/>
      <c r="Q10" s="322"/>
    </row>
    <row r="11" spans="2:20">
      <c r="B11" s="479"/>
      <c r="C11" s="324"/>
      <c r="D11" s="322"/>
      <c r="E11" s="322"/>
      <c r="F11" s="322"/>
      <c r="G11" s="322"/>
      <c r="H11" s="322"/>
      <c r="I11" s="322"/>
      <c r="J11" s="322"/>
      <c r="K11" s="322"/>
      <c r="L11" s="322"/>
      <c r="M11" s="480"/>
      <c r="Q11" s="322"/>
    </row>
    <row r="12" spans="2:20">
      <c r="B12" s="479"/>
      <c r="C12" s="324"/>
      <c r="D12" s="322"/>
      <c r="E12" s="322"/>
      <c r="F12" s="322"/>
      <c r="G12" s="322"/>
      <c r="H12" s="322"/>
      <c r="I12" s="322"/>
      <c r="J12" s="322"/>
      <c r="K12" s="322"/>
      <c r="L12" s="322"/>
      <c r="M12" s="480"/>
      <c r="Q12" s="322"/>
    </row>
    <row r="13" spans="2:20">
      <c r="B13" s="479"/>
      <c r="C13" s="324"/>
      <c r="D13" s="322"/>
      <c r="E13" s="322"/>
      <c r="F13" s="322"/>
      <c r="G13" s="322"/>
      <c r="H13" s="322"/>
      <c r="I13" s="322"/>
      <c r="J13" s="322"/>
      <c r="K13" s="322"/>
      <c r="L13" s="322"/>
      <c r="M13" s="480"/>
      <c r="Q13" s="322"/>
    </row>
    <row r="14" spans="2:20">
      <c r="B14" s="479"/>
      <c r="C14" s="324"/>
      <c r="D14" s="322"/>
      <c r="E14" s="322"/>
      <c r="F14" s="322"/>
      <c r="G14" s="322"/>
      <c r="H14" s="322"/>
      <c r="I14" s="322"/>
      <c r="J14" s="322"/>
      <c r="K14" s="322"/>
      <c r="L14" s="322"/>
      <c r="M14" s="480"/>
      <c r="Q14" s="322"/>
    </row>
    <row r="15" spans="2:20">
      <c r="B15" s="479"/>
      <c r="C15" s="324"/>
      <c r="D15" s="322"/>
      <c r="E15" s="322"/>
      <c r="F15" s="322"/>
      <c r="G15" s="322"/>
      <c r="H15" s="322"/>
      <c r="I15" s="322"/>
      <c r="J15" s="322"/>
      <c r="K15" s="322"/>
      <c r="L15" s="322"/>
      <c r="M15" s="480"/>
      <c r="Q15" s="322"/>
    </row>
    <row r="16" spans="2:20">
      <c r="B16" s="479"/>
      <c r="C16" s="324"/>
      <c r="D16" s="322"/>
      <c r="E16" s="322"/>
      <c r="F16" s="322"/>
      <c r="G16" s="322"/>
      <c r="H16" s="322"/>
      <c r="I16" s="322"/>
      <c r="J16" s="322"/>
      <c r="K16" s="322"/>
      <c r="L16" s="322"/>
      <c r="M16" s="480"/>
      <c r="Q16" s="322"/>
    </row>
    <row r="17" spans="2:17">
      <c r="B17" s="479"/>
      <c r="C17" s="324"/>
      <c r="D17" s="322"/>
      <c r="E17" s="322"/>
      <c r="F17" s="322"/>
      <c r="G17" s="322"/>
      <c r="H17" s="322"/>
      <c r="I17" s="322"/>
      <c r="J17" s="322"/>
      <c r="K17" s="322"/>
      <c r="L17" s="322"/>
      <c r="M17" s="480"/>
      <c r="Q17" s="322"/>
    </row>
    <row r="18" spans="2:17">
      <c r="B18" s="479"/>
      <c r="C18" s="324"/>
      <c r="D18" s="322"/>
      <c r="E18" s="322"/>
      <c r="F18" s="322"/>
      <c r="G18" s="322"/>
      <c r="H18" s="322"/>
      <c r="I18" s="322"/>
      <c r="J18" s="322"/>
      <c r="K18" s="322"/>
      <c r="L18" s="322"/>
      <c r="M18" s="480"/>
      <c r="Q18" s="322"/>
    </row>
    <row r="19" spans="2:17">
      <c r="B19" s="479"/>
      <c r="C19" s="324"/>
      <c r="D19" s="322"/>
      <c r="E19" s="322"/>
      <c r="F19" s="322"/>
      <c r="G19" s="322"/>
      <c r="H19" s="322"/>
      <c r="I19" s="322"/>
      <c r="J19" s="322"/>
      <c r="K19" s="322"/>
      <c r="L19" s="322"/>
      <c r="M19" s="480"/>
      <c r="Q19" s="322"/>
    </row>
    <row r="20" spans="2:17">
      <c r="B20" s="479"/>
      <c r="C20" s="324"/>
      <c r="D20" s="322"/>
      <c r="E20" s="322"/>
      <c r="F20" s="322"/>
      <c r="G20" s="322"/>
      <c r="H20" s="322"/>
      <c r="I20" s="322"/>
      <c r="J20" s="322"/>
      <c r="K20" s="322"/>
      <c r="L20" s="322"/>
      <c r="M20" s="480"/>
      <c r="Q20" s="322"/>
    </row>
    <row r="21" spans="2:17">
      <c r="B21" s="479"/>
      <c r="C21" s="324"/>
      <c r="D21" s="322"/>
      <c r="E21" s="322"/>
      <c r="F21" s="322"/>
      <c r="G21" s="322"/>
      <c r="H21" s="322"/>
      <c r="I21" s="322"/>
      <c r="J21" s="322"/>
      <c r="K21" s="322"/>
      <c r="L21" s="322"/>
      <c r="M21" s="480"/>
      <c r="Q21" s="322"/>
    </row>
    <row r="22" spans="2:17">
      <c r="B22" s="479"/>
      <c r="C22" s="324"/>
      <c r="D22" s="322"/>
      <c r="E22" s="322"/>
      <c r="F22" s="322"/>
      <c r="G22" s="322"/>
      <c r="H22" s="322"/>
      <c r="I22" s="322"/>
      <c r="J22" s="322"/>
      <c r="K22" s="322"/>
      <c r="L22" s="322"/>
      <c r="M22" s="480"/>
      <c r="Q22" s="322"/>
    </row>
    <row r="23" spans="2:17">
      <c r="B23" s="479"/>
      <c r="C23" s="324"/>
      <c r="D23" s="322"/>
      <c r="E23" s="322"/>
      <c r="F23" s="322"/>
      <c r="G23" s="322"/>
      <c r="H23" s="322"/>
      <c r="I23" s="322"/>
      <c r="J23" s="322"/>
      <c r="K23" s="322"/>
      <c r="L23" s="322"/>
      <c r="M23" s="480"/>
      <c r="Q23" s="322"/>
    </row>
    <row r="24" spans="2:17">
      <c r="B24" s="479"/>
      <c r="C24" s="324"/>
      <c r="D24" s="322"/>
      <c r="E24" s="322"/>
      <c r="F24" s="322"/>
      <c r="G24" s="322"/>
      <c r="H24" s="322"/>
      <c r="I24" s="322"/>
      <c r="J24" s="322"/>
      <c r="K24" s="322"/>
      <c r="L24" s="322"/>
      <c r="M24" s="480"/>
      <c r="Q24" s="322"/>
    </row>
    <row r="25" spans="2:17">
      <c r="B25" s="479"/>
      <c r="C25" s="324"/>
      <c r="D25" s="322"/>
      <c r="E25" s="322"/>
      <c r="F25" s="322"/>
      <c r="G25" s="322"/>
      <c r="H25" s="322"/>
      <c r="I25" s="322"/>
      <c r="J25" s="322"/>
      <c r="K25" s="322"/>
      <c r="L25" s="322"/>
      <c r="M25" s="480"/>
      <c r="Q25" s="322"/>
    </row>
    <row r="26" spans="2:17">
      <c r="B26" s="479"/>
      <c r="C26" s="324"/>
      <c r="D26" s="322"/>
      <c r="E26" s="322"/>
      <c r="F26" s="322"/>
      <c r="G26" s="322"/>
      <c r="H26" s="322"/>
      <c r="I26" s="322"/>
      <c r="J26" s="322"/>
      <c r="K26" s="322"/>
      <c r="L26" s="322"/>
      <c r="M26" s="480"/>
      <c r="Q26" s="322"/>
    </row>
    <row r="27" spans="2:17">
      <c r="B27" s="479"/>
      <c r="C27" s="324"/>
      <c r="D27" s="322"/>
      <c r="E27" s="322"/>
      <c r="F27" s="322"/>
      <c r="G27" s="322"/>
      <c r="H27" s="322"/>
      <c r="I27" s="322"/>
      <c r="J27" s="322"/>
      <c r="K27" s="322"/>
      <c r="L27" s="322"/>
      <c r="M27" s="480"/>
      <c r="Q27" s="322"/>
    </row>
    <row r="28" spans="2:17">
      <c r="B28" s="479"/>
      <c r="C28" s="324"/>
      <c r="D28" s="322"/>
      <c r="E28" s="322"/>
      <c r="F28" s="322"/>
      <c r="G28" s="322"/>
      <c r="H28" s="322"/>
      <c r="I28" s="322"/>
      <c r="J28" s="322"/>
      <c r="K28" s="322"/>
      <c r="L28" s="322"/>
      <c r="M28" s="480"/>
      <c r="Q28" s="322"/>
    </row>
    <row r="29" spans="2:17" ht="19.350000000000001" customHeight="1">
      <c r="B29" s="479"/>
      <c r="C29" s="324"/>
      <c r="D29" s="322"/>
      <c r="E29" s="322"/>
      <c r="F29" s="322"/>
      <c r="G29" s="322"/>
      <c r="H29" s="322"/>
      <c r="I29" s="322"/>
      <c r="J29" s="322"/>
      <c r="K29" s="322"/>
      <c r="L29" s="322"/>
      <c r="M29" s="480"/>
      <c r="Q29" s="322"/>
    </row>
    <row r="30" spans="2:17" ht="19.350000000000001" customHeight="1">
      <c r="B30" s="479"/>
      <c r="M30" s="480"/>
      <c r="Q30" s="322"/>
    </row>
    <row r="31" spans="2:17" ht="19.350000000000001" customHeight="1">
      <c r="B31" s="479"/>
      <c r="M31" s="480"/>
      <c r="Q31" s="322"/>
    </row>
    <row r="32" spans="2:17" ht="19.350000000000001" customHeight="1">
      <c r="B32" s="479"/>
      <c r="M32" s="480"/>
      <c r="Q32" s="322"/>
    </row>
    <row r="33" spans="2:25" ht="19.350000000000001" customHeight="1">
      <c r="B33" s="479"/>
      <c r="M33" s="480"/>
      <c r="Q33" s="322"/>
    </row>
    <row r="34" spans="2:25" ht="19.350000000000001" customHeight="1">
      <c r="B34" s="479"/>
      <c r="M34" s="480"/>
      <c r="Q34" s="322"/>
    </row>
    <row r="35" spans="2:25" ht="19.350000000000001" customHeight="1">
      <c r="B35" s="481"/>
      <c r="C35" s="482"/>
      <c r="D35" s="482"/>
      <c r="E35" s="482"/>
      <c r="F35" s="482"/>
      <c r="G35" s="482"/>
      <c r="H35" s="482"/>
      <c r="I35" s="482"/>
      <c r="J35" s="482"/>
      <c r="K35" s="482"/>
      <c r="L35" s="482"/>
      <c r="M35" s="483"/>
      <c r="Q35" s="322"/>
    </row>
    <row r="37" spans="2:25">
      <c r="B37" s="327"/>
      <c r="C37" s="328" t="s">
        <v>517</v>
      </c>
      <c r="J37" s="329">
        <f>C63</f>
        <v>0</v>
      </c>
      <c r="T37" s="326"/>
    </row>
    <row r="38" spans="2:25" ht="25.5">
      <c r="D38" s="318" t="s">
        <v>2247</v>
      </c>
      <c r="E38" s="318" t="s">
        <v>2248</v>
      </c>
      <c r="F38" s="330" t="s">
        <v>2249</v>
      </c>
      <c r="G38" s="330" t="str">
        <f>IF(G39&gt;0,"Progress to BP Q1  2023","Gap to BP Q1 2023")</f>
        <v>Gap to BP Q1 2023</v>
      </c>
      <c r="H38" s="330" t="str">
        <f>IF(H39&gt;0,"Progress to Actual Q1 2023","Gap to Actual Q1 2023")</f>
        <v>Progress to Actual Q1 2023</v>
      </c>
      <c r="K38" s="318" t="s">
        <v>2247</v>
      </c>
      <c r="L38" s="318" t="s">
        <v>2248</v>
      </c>
      <c r="M38" s="330" t="s">
        <v>2249</v>
      </c>
      <c r="N38" s="331" t="s">
        <v>2250</v>
      </c>
      <c r="O38" s="331" t="s">
        <v>2251</v>
      </c>
    </row>
    <row r="39" spans="2:25">
      <c r="C39" s="332" t="s">
        <v>517</v>
      </c>
      <c r="D39" s="1225">
        <f>D52</f>
        <v>13349.336432022506</v>
      </c>
      <c r="E39" s="1225">
        <f>G52</f>
        <v>14222.683392845354</v>
      </c>
      <c r="F39" s="1225">
        <f>'FY22 Fcst'!F8</f>
        <v>16282.398250877795</v>
      </c>
      <c r="G39" s="1225">
        <f>E39-F39</f>
        <v>-2059.714858032441</v>
      </c>
      <c r="H39" s="1225">
        <f>E39-D39</f>
        <v>873.3469608228479</v>
      </c>
      <c r="I39" s="1226"/>
      <c r="J39" s="1227" t="s">
        <v>5</v>
      </c>
      <c r="K39" s="1228">
        <f>D53</f>
        <v>2568.9557432677293</v>
      </c>
      <c r="L39" s="1228">
        <f>G53</f>
        <v>2223.1905163910619</v>
      </c>
      <c r="M39" s="1228">
        <f>+'FY22 Fcst'!F15</f>
        <v>2926.3021734304211</v>
      </c>
      <c r="N39" s="1225">
        <f>L39-M39</f>
        <v>-703.11165703935922</v>
      </c>
      <c r="O39" s="1225">
        <f>L39-K39</f>
        <v>-345.76522687666738</v>
      </c>
    </row>
    <row r="40" spans="2:25" s="333" customFormat="1">
      <c r="C40" s="333" t="s">
        <v>518</v>
      </c>
      <c r="D40" s="1229"/>
      <c r="E40" s="1229">
        <f>(E39-D39)/D39</f>
        <v>6.5422499857585095E-2</v>
      </c>
      <c r="F40" s="1229">
        <f>(E39-F39)/F39</f>
        <v>-0.12649947669234785</v>
      </c>
      <c r="G40" s="1229">
        <f>G39/F39</f>
        <v>-0.12649947669234785</v>
      </c>
      <c r="H40" s="1229">
        <f>H39/D39</f>
        <v>6.5422499857585095E-2</v>
      </c>
      <c r="I40" s="1230">
        <f>G40+100%</f>
        <v>0.87350052330765215</v>
      </c>
      <c r="J40" s="1229" t="s">
        <v>518</v>
      </c>
      <c r="K40" s="1229"/>
      <c r="L40" s="1229">
        <f>(L39-K39)/K39</f>
        <v>-0.13459368764245491</v>
      </c>
      <c r="M40" s="1229">
        <f>(L39-M39)/M39</f>
        <v>-0.24027308711428161</v>
      </c>
      <c r="N40" s="1229">
        <f>N39/M39</f>
        <v>-0.24027308711428161</v>
      </c>
      <c r="O40" s="1229">
        <f>O39/K39</f>
        <v>-0.13459368764245491</v>
      </c>
      <c r="P40" s="1231"/>
      <c r="Q40" s="1229"/>
      <c r="R40" s="1229"/>
      <c r="S40" s="1229"/>
    </row>
    <row r="41" spans="2:25">
      <c r="D41" s="1232"/>
      <c r="E41" s="334">
        <f>E39-D39</f>
        <v>873.3469608228479</v>
      </c>
      <c r="K41" s="1233">
        <f>K39/D39</f>
        <v>0.19244070717292699</v>
      </c>
      <c r="L41" s="1233">
        <f>L39/E39</f>
        <v>0.15631301456864505</v>
      </c>
      <c r="M41" s="1233">
        <f>M39/F39</f>
        <v>0.17972181544402785</v>
      </c>
      <c r="N41" s="1234"/>
      <c r="P41" s="1234"/>
    </row>
    <row r="44" spans="2:25" ht="13.5">
      <c r="C44" s="343" t="s">
        <v>217</v>
      </c>
      <c r="D44" s="1238">
        <f>+'FY22 Fcst'!N7</f>
        <v>3.2702</v>
      </c>
      <c r="G44" s="1239">
        <f>+'FY22 Fcst'!N6</f>
        <v>3.3321000000000001</v>
      </c>
    </row>
    <row r="45" spans="2:25" s="333" customFormat="1">
      <c r="B45" s="318"/>
      <c r="C45" s="318"/>
      <c r="D45" s="318" t="s">
        <v>2247</v>
      </c>
      <c r="E45" s="318" t="s">
        <v>2001</v>
      </c>
      <c r="F45" s="318" t="s">
        <v>2249</v>
      </c>
      <c r="G45" s="318" t="s">
        <v>2248</v>
      </c>
      <c r="H45" s="318"/>
      <c r="I45" s="318"/>
      <c r="J45" s="318"/>
      <c r="K45" s="318"/>
      <c r="L45" s="318"/>
      <c r="M45" s="318"/>
      <c r="N45" s="318"/>
      <c r="O45" s="318"/>
      <c r="P45" s="318"/>
      <c r="Q45" s="318"/>
      <c r="R45" s="318"/>
      <c r="S45" s="318"/>
      <c r="T45" s="318"/>
      <c r="U45" s="318"/>
      <c r="V45" s="318"/>
      <c r="W45" s="318"/>
      <c r="X45" s="318"/>
      <c r="Y45" s="318"/>
    </row>
    <row r="46" spans="2:25" s="333" customFormat="1">
      <c r="B46" s="318"/>
      <c r="C46" s="318" t="s">
        <v>517</v>
      </c>
      <c r="D46" s="1235">
        <v>43655</v>
      </c>
      <c r="E46" s="1236">
        <f>'YTD Sep Cons. vs PY V2'!D9/1000</f>
        <v>34149.174060000005</v>
      </c>
      <c r="F46" s="1235"/>
      <c r="G46" s="1235">
        <f>'YTD Q1''23 Cons. vs Q1''22'!I10/1000</f>
        <v>47391.403333300004</v>
      </c>
      <c r="H46" s="318"/>
      <c r="I46" s="318"/>
      <c r="J46" s="318"/>
      <c r="K46" s="318"/>
      <c r="L46" s="318"/>
      <c r="M46" s="318"/>
      <c r="N46" s="318"/>
      <c r="O46" s="318"/>
      <c r="P46" s="318"/>
      <c r="Q46" s="318"/>
      <c r="R46" s="318"/>
      <c r="S46" s="318"/>
      <c r="T46" s="318"/>
      <c r="U46" s="318"/>
      <c r="V46" s="318"/>
      <c r="W46" s="318"/>
      <c r="X46" s="318"/>
      <c r="Y46" s="318"/>
    </row>
    <row r="47" spans="2:25" s="333" customFormat="1">
      <c r="B47" s="318"/>
      <c r="C47" s="318" t="s">
        <v>5</v>
      </c>
      <c r="D47" s="1235">
        <f>'YTD Q1''23 Cons. vs Q1''22'!L18/1000</f>
        <v>8400.999071634129</v>
      </c>
      <c r="E47" s="1235">
        <f>'YTD Sep Cons. vs PY V2'!D17/1000</f>
        <v>6153.0808360000028</v>
      </c>
      <c r="F47" s="1235"/>
      <c r="G47" s="1235">
        <f>'YTD Q1''23 Cons. vs Q1''22'!I18/1000</f>
        <v>7407.8931196666581</v>
      </c>
      <c r="H47" s="318"/>
      <c r="I47" s="318"/>
      <c r="J47" s="318"/>
      <c r="K47" s="318"/>
      <c r="L47" s="318"/>
      <c r="M47" s="318"/>
      <c r="N47" s="318"/>
      <c r="O47" s="318"/>
      <c r="P47" s="318"/>
      <c r="Q47" s="318"/>
      <c r="R47" s="318"/>
      <c r="S47" s="318"/>
      <c r="T47" s="318"/>
      <c r="U47" s="318"/>
      <c r="V47" s="318"/>
      <c r="W47" s="318"/>
      <c r="X47" s="318"/>
      <c r="Y47" s="318"/>
    </row>
    <row r="50" spans="3:33" ht="13.5">
      <c r="C50" s="343" t="s">
        <v>216</v>
      </c>
      <c r="D50" s="1238">
        <f>+D44</f>
        <v>3.2702</v>
      </c>
      <c r="E50" s="1239">
        <v>3.3102</v>
      </c>
      <c r="G50" s="1239">
        <f>+G44</f>
        <v>3.3321000000000001</v>
      </c>
    </row>
    <row r="51" spans="3:33">
      <c r="D51" s="318" t="s">
        <v>2247</v>
      </c>
      <c r="E51" s="318" t="s">
        <v>2001</v>
      </c>
      <c r="F51" s="318" t="s">
        <v>2249</v>
      </c>
      <c r="G51" s="318" t="s">
        <v>2248</v>
      </c>
    </row>
    <row r="52" spans="3:33">
      <c r="C52" s="318" t="s">
        <v>517</v>
      </c>
      <c r="D52" s="1235">
        <f>D46/D44</f>
        <v>13349.336432022506</v>
      </c>
      <c r="E52" s="1235">
        <f>E46/E50</f>
        <v>10316.347670835601</v>
      </c>
      <c r="F52" s="1235">
        <f>('VISUAL P&amp;L'!D9)/1000</f>
        <v>6685.3415356752985</v>
      </c>
      <c r="G52" s="1235">
        <f>G46/G44</f>
        <v>14222.683392845354</v>
      </c>
    </row>
    <row r="53" spans="3:33">
      <c r="C53" s="318" t="s">
        <v>5</v>
      </c>
      <c r="D53" s="1235">
        <f>D47/D44</f>
        <v>2568.9557432677293</v>
      </c>
      <c r="E53" s="1235">
        <f>E47/E50</f>
        <v>1858.8244927798933</v>
      </c>
      <c r="F53" s="1235">
        <f>'VISUAL P&amp;L'!D25/1000</f>
        <v>1436.7224812345976</v>
      </c>
      <c r="G53" s="1235">
        <f>G47/G44</f>
        <v>2223.1905163910619</v>
      </c>
    </row>
    <row r="55" spans="3:33">
      <c r="D55" s="342"/>
      <c r="E55" s="1237"/>
      <c r="F55" s="342"/>
    </row>
    <row r="56" spans="3:33">
      <c r="E56" s="1235"/>
    </row>
    <row r="57" spans="3:33" ht="20.25">
      <c r="E57" s="344"/>
      <c r="AA57" s="335"/>
    </row>
    <row r="58" spans="3:33" ht="23.85" customHeight="1">
      <c r="E58" s="344"/>
      <c r="AA58" s="336"/>
      <c r="AB58" s="336"/>
      <c r="AC58" s="336"/>
      <c r="AD58" s="336"/>
      <c r="AE58" s="336"/>
      <c r="AF58" s="336"/>
    </row>
    <row r="59" spans="3:33">
      <c r="D59" s="342"/>
      <c r="E59" s="346"/>
      <c r="F59" s="342"/>
      <c r="G59" s="346"/>
      <c r="AB59" s="337"/>
      <c r="AC59" s="338"/>
      <c r="AD59" s="337"/>
      <c r="AE59" s="339"/>
      <c r="AF59" s="339"/>
      <c r="AG59" s="334"/>
    </row>
    <row r="60" spans="3:33">
      <c r="E60" s="345"/>
      <c r="AB60" s="337"/>
      <c r="AC60" s="338"/>
      <c r="AD60" s="337"/>
      <c r="AE60" s="339"/>
      <c r="AF60" s="339"/>
      <c r="AG60" s="334"/>
    </row>
    <row r="61" spans="3:33">
      <c r="D61" s="344"/>
      <c r="AB61" s="338"/>
      <c r="AC61" s="337"/>
      <c r="AD61" s="338"/>
      <c r="AE61" s="339"/>
      <c r="AF61" s="339"/>
      <c r="AG61" s="334"/>
    </row>
    <row r="62" spans="3:33">
      <c r="D62" s="344"/>
      <c r="AB62" s="338"/>
      <c r="AC62" s="337"/>
      <c r="AD62" s="338"/>
      <c r="AE62" s="339"/>
      <c r="AF62" s="339"/>
      <c r="AG62" s="334"/>
    </row>
    <row r="63" spans="3:33">
      <c r="D63" s="344"/>
      <c r="AB63" s="338"/>
      <c r="AC63" s="337"/>
      <c r="AD63" s="338"/>
      <c r="AE63" s="339"/>
      <c r="AF63" s="339"/>
      <c r="AG63" s="334"/>
    </row>
    <row r="64" spans="3:33">
      <c r="AD64" s="334"/>
    </row>
    <row r="65" spans="5:33" ht="20.25">
      <c r="AA65" s="335"/>
    </row>
    <row r="66" spans="5:33" ht="20.85" customHeight="1">
      <c r="AA66" s="336"/>
      <c r="AB66" s="336"/>
      <c r="AC66" s="336"/>
      <c r="AD66" s="336"/>
      <c r="AE66" s="336"/>
      <c r="AF66" s="336"/>
    </row>
    <row r="67" spans="5:33" ht="15.6" customHeight="1">
      <c r="AB67" s="337"/>
      <c r="AC67" s="337"/>
      <c r="AD67" s="337"/>
      <c r="AE67" s="339"/>
      <c r="AF67" s="339"/>
      <c r="AG67" s="334"/>
    </row>
    <row r="68" spans="5:33" ht="15.6" customHeight="1">
      <c r="AB68" s="337"/>
      <c r="AC68" s="337"/>
      <c r="AD68" s="337"/>
      <c r="AE68" s="339"/>
      <c r="AF68" s="339"/>
      <c r="AG68" s="334"/>
    </row>
    <row r="69" spans="5:33" ht="15.6" customHeight="1">
      <c r="E69" s="342"/>
      <c r="AB69" s="337"/>
      <c r="AC69" s="337"/>
      <c r="AD69" s="338"/>
      <c r="AE69" s="339"/>
      <c r="AF69" s="339"/>
      <c r="AG69" s="334"/>
    </row>
    <row r="70" spans="5:33" ht="21.6" customHeight="1">
      <c r="AB70" s="337"/>
      <c r="AC70" s="337"/>
      <c r="AD70" s="338"/>
      <c r="AE70" s="339"/>
      <c r="AF70" s="339"/>
      <c r="AG70" s="334"/>
    </row>
    <row r="71" spans="5:33" ht="23.45" customHeight="1">
      <c r="AA71" s="318" t="s">
        <v>520</v>
      </c>
      <c r="AB71" s="334">
        <f>V63</f>
        <v>0</v>
      </c>
      <c r="AC71" s="337">
        <f>'[77]I.2 Operating Perfor_FGOODS_YTD'!R51</f>
        <v>0</v>
      </c>
      <c r="AD71" s="338">
        <f>'[77]I.2 Operating Perfor_RECYCL_YTD'!W38</f>
        <v>0</v>
      </c>
      <c r="AE71" s="339" t="e">
        <f>AC71/AG71</f>
        <v>#DIV/0!</v>
      </c>
      <c r="AF71" s="339" t="e">
        <f>AD71/AG71</f>
        <v>#DIV/0!</v>
      </c>
      <c r="AG71" s="334">
        <f>AC71+AD71</f>
        <v>0</v>
      </c>
    </row>
    <row r="72" spans="5:33" ht="18" customHeight="1">
      <c r="AD72" s="340"/>
    </row>
    <row r="80" spans="5:33">
      <c r="E80" s="327"/>
      <c r="F80" s="327"/>
    </row>
    <row r="81" spans="5:6">
      <c r="E81" s="327"/>
      <c r="F81" s="327"/>
    </row>
    <row r="82" spans="5:6">
      <c r="E82" s="327"/>
      <c r="F82" s="327"/>
    </row>
  </sheetData>
  <mergeCells count="1">
    <mergeCell ref="D6:L6"/>
  </mergeCells>
  <pageMargins left="0.7" right="0.7" top="0.75" bottom="0.75" header="0.3" footer="0.3"/>
  <pageSetup paperSize="9" scale="7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84D257-1174-484D-A5AD-D4FE07A880D8}">
  <sheetPr codeName="Sheet2"/>
  <dimension ref="B2:H44"/>
  <sheetViews>
    <sheetView zoomScale="96" zoomScaleNormal="96" workbookViewId="0">
      <selection activeCell="B2" sqref="B2"/>
    </sheetView>
  </sheetViews>
  <sheetFormatPr baseColWidth="10" defaultColWidth="8.875" defaultRowHeight="15.75"/>
  <cols>
    <col min="1" max="1" width="2.625" customWidth="1"/>
    <col min="2" max="2" width="52.625" customWidth="1"/>
    <col min="3" max="4" width="15.125" bestFit="1" customWidth="1"/>
    <col min="5" max="6" width="16.5" bestFit="1" customWidth="1"/>
    <col min="7" max="10" width="19.875" customWidth="1"/>
    <col min="11" max="11" width="12.875" bestFit="1" customWidth="1"/>
    <col min="12" max="12" width="16.5" bestFit="1" customWidth="1"/>
  </cols>
  <sheetData>
    <row r="2" spans="2:8" ht="24" thickBot="1">
      <c r="B2" s="26" t="s">
        <v>74</v>
      </c>
      <c r="C2" s="27"/>
      <c r="D2" s="27"/>
      <c r="E2" s="27"/>
    </row>
    <row r="3" spans="2:8" ht="16.5" thickTop="1"/>
    <row r="4" spans="2:8" ht="18.75">
      <c r="C4" s="1245" t="s">
        <v>75</v>
      </c>
      <c r="D4" s="1245"/>
      <c r="E4" s="1251" t="s">
        <v>76</v>
      </c>
    </row>
    <row r="5" spans="2:8" ht="24.95" customHeight="1">
      <c r="B5" s="28"/>
      <c r="C5" s="29" t="s">
        <v>77</v>
      </c>
      <c r="D5" s="29" t="s">
        <v>78</v>
      </c>
      <c r="E5" s="1252"/>
    </row>
    <row r="6" spans="2:8" ht="24.95" customHeight="1">
      <c r="B6" s="30" t="s">
        <v>79</v>
      </c>
      <c r="C6" s="31"/>
      <c r="D6" s="31"/>
      <c r="G6" t="s">
        <v>602</v>
      </c>
    </row>
    <row r="7" spans="2:8" ht="24.95" customHeight="1">
      <c r="B7" s="32" t="s">
        <v>80</v>
      </c>
      <c r="C7" s="33">
        <v>108125</v>
      </c>
      <c r="D7" s="33">
        <v>166074</v>
      </c>
      <c r="E7" s="33">
        <v>274199</v>
      </c>
      <c r="G7" s="33">
        <v>38000</v>
      </c>
      <c r="H7" s="44">
        <f>+G7+G8+D7</f>
        <v>361074</v>
      </c>
    </row>
    <row r="8" spans="2:8" ht="24.95" customHeight="1">
      <c r="B8" s="34" t="s">
        <v>81</v>
      </c>
      <c r="C8" s="33">
        <v>1031823.8374473354</v>
      </c>
      <c r="D8" s="33">
        <v>1501764.4354375645</v>
      </c>
      <c r="E8" s="33">
        <v>2533588.2728848998</v>
      </c>
      <c r="G8" s="33">
        <v>157000</v>
      </c>
    </row>
    <row r="9" spans="2:8" ht="24.95" customHeight="1">
      <c r="B9" s="32" t="s">
        <v>82</v>
      </c>
      <c r="C9" s="35">
        <v>5074145.1443191376</v>
      </c>
      <c r="D9" s="839">
        <v>6685341.5356752984</v>
      </c>
      <c r="E9" s="35">
        <v>11759486.679994438</v>
      </c>
      <c r="G9" s="474">
        <f>E9/E7</f>
        <v>42.88668696820352</v>
      </c>
    </row>
    <row r="10" spans="2:8" ht="24.95" customHeight="1">
      <c r="B10" s="32" t="s">
        <v>83</v>
      </c>
      <c r="C10" s="35">
        <v>3418345.5487396056</v>
      </c>
      <c r="D10" s="35">
        <v>4992633.7178814784</v>
      </c>
      <c r="E10" s="35">
        <v>8410979.2666210793</v>
      </c>
    </row>
    <row r="11" spans="2:8" ht="24.95" customHeight="1">
      <c r="B11" s="36" t="s">
        <v>84</v>
      </c>
      <c r="C11" s="37">
        <v>1655799.595579532</v>
      </c>
      <c r="D11" s="37">
        <v>1692707.8177938201</v>
      </c>
      <c r="E11" s="37">
        <v>3348507.4133733604</v>
      </c>
      <c r="F11" s="103">
        <f>E37/(D25)</f>
        <v>1.9821232068027752</v>
      </c>
      <c r="G11" s="44">
        <f>E11/E7</f>
        <v>12.211960705084119</v>
      </c>
    </row>
    <row r="12" spans="2:8" ht="24.95" customHeight="1">
      <c r="B12" s="38" t="s">
        <v>85</v>
      </c>
      <c r="C12" s="39">
        <v>0.32632089711373674</v>
      </c>
      <c r="D12" s="39">
        <v>0.25319690980048593</v>
      </c>
      <c r="E12" s="39">
        <v>0.28474945416366959</v>
      </c>
    </row>
    <row r="13" spans="2:8">
      <c r="B13" s="40"/>
      <c r="C13" s="41"/>
      <c r="D13" s="41"/>
      <c r="E13" s="41"/>
    </row>
    <row r="14" spans="2:8" ht="23.1" customHeight="1">
      <c r="B14" s="30" t="s">
        <v>86</v>
      </c>
      <c r="C14" s="41"/>
      <c r="D14" s="41"/>
      <c r="E14" s="41"/>
    </row>
    <row r="15" spans="2:8" ht="27.95" customHeight="1">
      <c r="B15" s="42" t="s">
        <v>87</v>
      </c>
      <c r="C15" s="43">
        <v>1116004.9109153105</v>
      </c>
      <c r="D15" s="43">
        <v>1625052.0395410911</v>
      </c>
      <c r="E15" s="43">
        <v>2741056.9504564037</v>
      </c>
      <c r="F15" s="44"/>
      <c r="G15" s="45"/>
    </row>
    <row r="16" spans="2:8" ht="27.95" customHeight="1">
      <c r="B16" s="46" t="s">
        <v>82</v>
      </c>
      <c r="C16" s="43">
        <v>2321126.4833157714</v>
      </c>
      <c r="D16" s="840">
        <v>3379208.8587545585</v>
      </c>
      <c r="E16" s="43">
        <v>5700335.3420703327</v>
      </c>
    </row>
    <row r="17" spans="2:6" ht="27.95" customHeight="1">
      <c r="B17" s="42" t="s">
        <v>83</v>
      </c>
      <c r="C17" s="47">
        <v>2174811.0566284438</v>
      </c>
      <c r="D17" s="47">
        <v>3166015.5090700034</v>
      </c>
      <c r="E17" s="47">
        <v>5340826.5656984467</v>
      </c>
    </row>
    <row r="18" spans="2:6" ht="27.95" customHeight="1">
      <c r="B18" s="48" t="s">
        <v>88</v>
      </c>
      <c r="C18" s="49">
        <v>146315.42668732768</v>
      </c>
      <c r="D18" s="49">
        <v>213193.34968455508</v>
      </c>
      <c r="E18" s="49">
        <v>359508.77637188602</v>
      </c>
    </row>
    <row r="19" spans="2:6" ht="27.95" customHeight="1">
      <c r="B19" s="50" t="s">
        <v>85</v>
      </c>
      <c r="C19" s="51">
        <f>C18/C17</f>
        <v>6.7277304960071754E-2</v>
      </c>
      <c r="D19" s="51">
        <f>D18/D17</f>
        <v>6.7338062329069026E-2</v>
      </c>
      <c r="E19" s="51">
        <f>E18/E17</f>
        <v>6.7313321627187353E-2</v>
      </c>
    </row>
    <row r="20" spans="2:6" ht="27.95" customHeight="1">
      <c r="B20" s="52"/>
      <c r="C20" s="53"/>
      <c r="D20" s="54"/>
      <c r="E20" s="54"/>
    </row>
    <row r="21" spans="2:6" ht="26.1" customHeight="1">
      <c r="B21" s="55" t="s">
        <v>89</v>
      </c>
      <c r="C21" s="56">
        <v>3272030.1220522802</v>
      </c>
      <c r="D21" s="56">
        <v>4779440.3681969177</v>
      </c>
      <c r="E21" s="56">
        <v>8051470.4902491951</v>
      </c>
      <c r="F21" s="57"/>
    </row>
    <row r="22" spans="2:6" ht="26.1" customHeight="1">
      <c r="B22" s="58" t="s">
        <v>90</v>
      </c>
      <c r="C22" s="59">
        <v>1802115.022266862</v>
      </c>
      <c r="D22" s="59">
        <v>1905901.1674783807</v>
      </c>
      <c r="E22" s="59">
        <v>3708016.1897452446</v>
      </c>
      <c r="F22" s="57"/>
    </row>
    <row r="23" spans="2:6" ht="26.1" customHeight="1">
      <c r="B23" s="58" t="s">
        <v>91</v>
      </c>
      <c r="C23" s="60">
        <v>0.35515638023962698</v>
      </c>
      <c r="D23" s="60">
        <v>0.28508658193569203</v>
      </c>
      <c r="E23" s="60">
        <v>0.3153212627940149</v>
      </c>
    </row>
    <row r="24" spans="2:6" ht="26.1" customHeight="1">
      <c r="B24" s="55" t="s">
        <v>92</v>
      </c>
      <c r="C24" s="61">
        <v>469178.68624378328</v>
      </c>
      <c r="D24" s="61">
        <v>469178.68624378328</v>
      </c>
      <c r="E24" s="61">
        <v>938357.37248756655</v>
      </c>
      <c r="F24" s="837">
        <f>(D24+C24)/E37</f>
        <v>0.32950706951280051</v>
      </c>
    </row>
    <row r="25" spans="2:6" ht="26.1" customHeight="1">
      <c r="B25" s="62" t="s">
        <v>5</v>
      </c>
      <c r="C25" s="63">
        <v>1332936.3360230788</v>
      </c>
      <c r="D25" s="63">
        <v>1436722.4812345975</v>
      </c>
      <c r="E25" s="63">
        <v>2769658.8172576781</v>
      </c>
      <c r="F25" s="838">
        <f>1/F24</f>
        <v>3.0348362524621115</v>
      </c>
    </row>
    <row r="26" spans="2:6" ht="23.1" customHeight="1">
      <c r="B26" s="64" t="s">
        <v>93</v>
      </c>
      <c r="C26" s="65">
        <f>C25/C9</f>
        <v>0.26269180287745508</v>
      </c>
      <c r="D26" s="65">
        <f t="shared" ref="D26:E26" si="0">D25/D9</f>
        <v>0.21490636993902984</v>
      </c>
      <c r="E26" s="65">
        <f t="shared" si="0"/>
        <v>0.23552548615659372</v>
      </c>
    </row>
    <row r="28" spans="2:6">
      <c r="B28" t="s">
        <v>94</v>
      </c>
      <c r="E28" s="66">
        <f>E22/E7</f>
        <v>13.52308429186556</v>
      </c>
    </row>
    <row r="30" spans="2:6" ht="18.75">
      <c r="B30" s="67" t="s">
        <v>95</v>
      </c>
      <c r="C30" s="67"/>
      <c r="D30" s="67"/>
      <c r="E30" s="68">
        <v>953000</v>
      </c>
    </row>
    <row r="32" spans="2:6" ht="24.95" customHeight="1">
      <c r="B32" s="69" t="s">
        <v>96</v>
      </c>
      <c r="C32" s="70"/>
      <c r="D32" s="70"/>
      <c r="E32" s="70"/>
    </row>
    <row r="33" spans="2:7" ht="18" customHeight="1">
      <c r="B33" s="71"/>
    </row>
    <row r="34" spans="2:7" ht="27" customHeight="1" thickBot="1">
      <c r="B34" s="72" t="s">
        <v>97</v>
      </c>
      <c r="C34" s="19"/>
      <c r="D34" s="19"/>
      <c r="E34" s="73">
        <f>E30+E25</f>
        <v>3722658.8172576781</v>
      </c>
    </row>
    <row r="35" spans="2:7" ht="42.95" customHeight="1">
      <c r="B35" s="1253" t="s">
        <v>98</v>
      </c>
      <c r="C35" s="1253"/>
      <c r="D35" s="1253"/>
      <c r="E35" s="1253"/>
    </row>
    <row r="36" spans="2:7" ht="21.95" customHeight="1">
      <c r="B36" s="74"/>
      <c r="E36" s="75"/>
    </row>
    <row r="37" spans="2:7" ht="27" customHeight="1" thickBot="1">
      <c r="B37" s="72" t="s">
        <v>99</v>
      </c>
      <c r="C37" s="19"/>
      <c r="D37" s="19"/>
      <c r="E37" s="76">
        <f>'[78]Diferentiating-performance'!$K$6</f>
        <v>2847760.9717903603</v>
      </c>
    </row>
    <row r="38" spans="2:7" ht="29.1" customHeight="1">
      <c r="B38" s="1254" t="s">
        <v>100</v>
      </c>
      <c r="C38" s="1254"/>
      <c r="D38" s="1254"/>
      <c r="E38" s="1254"/>
    </row>
    <row r="40" spans="2:7" ht="26.1" customHeight="1" thickBot="1">
      <c r="B40" s="72" t="s">
        <v>101</v>
      </c>
      <c r="C40" s="19"/>
      <c r="D40" s="19"/>
      <c r="E40" s="77">
        <v>4000000</v>
      </c>
    </row>
    <row r="41" spans="2:7" ht="35.1" customHeight="1">
      <c r="B41" s="1255" t="s">
        <v>102</v>
      </c>
      <c r="C41" s="1255"/>
      <c r="D41" s="1255"/>
      <c r="E41" s="1255"/>
    </row>
    <row r="43" spans="2:7">
      <c r="E43" s="474">
        <f>E34/350000</f>
        <v>10.636168049307653</v>
      </c>
    </row>
    <row r="44" spans="2:7" ht="16.5" thickBot="1">
      <c r="E44" s="77">
        <f>E43*500000</f>
        <v>5318084.0246538259</v>
      </c>
      <c r="G44">
        <f>37*12</f>
        <v>444</v>
      </c>
    </row>
  </sheetData>
  <mergeCells count="5">
    <mergeCell ref="C4:D4"/>
    <mergeCell ref="E4:E5"/>
    <mergeCell ref="B35:E35"/>
    <mergeCell ref="B38:E38"/>
    <mergeCell ref="B41:E41"/>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F1765A-7A04-4A55-B82C-0F8C86ECC1B9}">
  <dimension ref="A2:AV85"/>
  <sheetViews>
    <sheetView showGridLines="0" topLeftCell="A14" zoomScale="90" zoomScaleNormal="90" workbookViewId="0">
      <selection activeCell="AN5" sqref="AN5"/>
    </sheetView>
  </sheetViews>
  <sheetFormatPr baseColWidth="10" defaultColWidth="7.875" defaultRowHeight="12.75"/>
  <cols>
    <col min="1" max="6" width="7.875" style="108"/>
    <col min="7" max="7" width="4.125" style="108" customWidth="1"/>
    <col min="8" max="8" width="24.375" style="108" customWidth="1"/>
    <col min="9" max="12" width="8.625" style="108" customWidth="1"/>
    <col min="13" max="13" width="9.25" style="108" customWidth="1"/>
    <col min="14" max="14" width="13.875" style="108" hidden="1" customWidth="1"/>
    <col min="15" max="15" width="13.75" style="108" hidden="1" customWidth="1"/>
    <col min="16" max="19" width="13.75" style="108" customWidth="1"/>
    <col min="20" max="20" width="13.875" style="108" customWidth="1"/>
    <col min="21" max="21" width="13.625" style="108" customWidth="1"/>
    <col min="22" max="22" width="17.375" style="108" customWidth="1"/>
    <col min="23" max="23" width="18.75" style="108" customWidth="1"/>
    <col min="24" max="25" width="11" style="108" bestFit="1" customWidth="1"/>
    <col min="26" max="26" width="19.375" style="108" customWidth="1"/>
    <col min="27" max="27" width="11.125" style="108" customWidth="1"/>
    <col min="28" max="28" width="10.375" style="108" customWidth="1"/>
    <col min="29" max="29" width="31.125" style="108" customWidth="1"/>
    <col min="30" max="31" width="11.125" style="108" customWidth="1"/>
    <col min="32" max="32" width="26.75" style="108" customWidth="1"/>
    <col min="33" max="33" width="11.125" style="108" customWidth="1"/>
    <col min="34" max="34" width="8.25" style="108" customWidth="1"/>
    <col min="35" max="35" width="10.5" style="108" bestFit="1" customWidth="1"/>
    <col min="36" max="36" width="11.5" style="108" customWidth="1"/>
    <col min="37" max="39" width="7.875" style="108" customWidth="1"/>
    <col min="40" max="40" width="23.125" style="108" bestFit="1" customWidth="1"/>
    <col min="41" max="44" width="6.875" style="108" bestFit="1" customWidth="1"/>
    <col min="45" max="45" width="10" style="108" customWidth="1"/>
    <col min="46" max="46" width="15.5" style="108" bestFit="1" customWidth="1"/>
    <col min="47" max="47" width="13.5" style="108" bestFit="1" customWidth="1"/>
    <col min="48" max="48" width="12.625" style="108" customWidth="1"/>
    <col min="49" max="49" width="7.875" style="108"/>
    <col min="50" max="50" width="9.5" style="108" bestFit="1" customWidth="1"/>
    <col min="51" max="16384" width="7.875" style="108"/>
  </cols>
  <sheetData>
    <row r="2" spans="2:48" ht="18.75">
      <c r="B2" s="107" t="str">
        <f>[79]RO_table!B30</f>
        <v>Inventory Stratification</v>
      </c>
    </row>
    <row r="3" spans="2:48" ht="13.5" thickBot="1"/>
    <row r="4" spans="2:48">
      <c r="B4" s="109"/>
      <c r="C4" s="110"/>
      <c r="D4" s="110"/>
      <c r="E4" s="110"/>
      <c r="F4" s="110"/>
      <c r="G4" s="110"/>
      <c r="H4" s="110"/>
      <c r="I4" s="110"/>
      <c r="J4" s="110"/>
      <c r="K4" s="110"/>
      <c r="L4" s="110"/>
      <c r="M4" s="110"/>
      <c r="N4" s="110"/>
      <c r="O4" s="110"/>
      <c r="P4" s="110"/>
      <c r="Q4" s="110"/>
      <c r="R4" s="110"/>
      <c r="S4" s="110"/>
      <c r="T4" s="111"/>
      <c r="AN4" s="108" t="s">
        <v>2254</v>
      </c>
      <c r="AO4" s="117" t="s">
        <v>457</v>
      </c>
      <c r="AP4" s="117"/>
      <c r="AQ4" s="117"/>
      <c r="AR4" s="117"/>
      <c r="AS4" s="117"/>
    </row>
    <row r="5" spans="2:48" ht="15.75" thickBot="1">
      <c r="B5" s="112"/>
      <c r="C5" s="125"/>
      <c r="D5" s="125"/>
      <c r="E5" s="125"/>
      <c r="F5" s="125"/>
      <c r="G5" s="125"/>
      <c r="H5" s="125"/>
      <c r="I5" s="125"/>
      <c r="J5" s="125"/>
      <c r="K5" s="125"/>
      <c r="L5" s="125"/>
      <c r="M5" s="125"/>
      <c r="N5" s="150"/>
      <c r="O5" s="150"/>
      <c r="P5" s="150"/>
      <c r="Q5" s="150"/>
      <c r="R5" s="150"/>
      <c r="S5" s="150"/>
      <c r="T5" s="113"/>
      <c r="AO5" s="298">
        <v>3.282</v>
      </c>
      <c r="AP5" s="298">
        <v>3.2997000000000001</v>
      </c>
      <c r="AQ5" s="298">
        <v>3.2502900000000001</v>
      </c>
      <c r="AR5" s="768">
        <v>3.21841</v>
      </c>
      <c r="AS5" s="828">
        <v>3.3102</v>
      </c>
    </row>
    <row r="6" spans="2:48" ht="16.5" customHeight="1" thickBot="1">
      <c r="B6" s="112"/>
      <c r="C6" s="125"/>
      <c r="D6" s="125"/>
      <c r="E6" s="125"/>
      <c r="F6" s="125"/>
      <c r="G6" s="125"/>
      <c r="H6" s="165" t="s">
        <v>508</v>
      </c>
      <c r="I6" s="1258" t="s">
        <v>349</v>
      </c>
      <c r="J6" s="1259"/>
      <c r="K6" s="1259"/>
      <c r="L6" s="1259"/>
      <c r="M6" s="1260"/>
      <c r="N6" s="1256" t="s">
        <v>364</v>
      </c>
      <c r="O6" s="1257"/>
      <c r="P6" s="1258" t="s">
        <v>2244</v>
      </c>
      <c r="Q6" s="1259"/>
      <c r="R6" s="1259"/>
      <c r="S6" s="1260"/>
      <c r="T6" s="113"/>
      <c r="AN6" s="165" t="s">
        <v>365</v>
      </c>
      <c r="AO6" s="1258" t="s">
        <v>349</v>
      </c>
      <c r="AP6" s="1259"/>
      <c r="AQ6" s="1259"/>
      <c r="AR6" s="1259"/>
      <c r="AS6" s="769"/>
      <c r="AT6" s="770" t="s">
        <v>364</v>
      </c>
      <c r="AU6" s="771"/>
      <c r="AV6" s="772"/>
    </row>
    <row r="7" spans="2:48" ht="15.75" thickBot="1">
      <c r="B7" s="112"/>
      <c r="C7" s="125"/>
      <c r="D7" s="125"/>
      <c r="E7" s="125"/>
      <c r="F7" s="125"/>
      <c r="G7" s="125"/>
      <c r="H7" s="1031" t="s">
        <v>348</v>
      </c>
      <c r="I7" s="830" t="s">
        <v>354</v>
      </c>
      <c r="J7" s="966" t="s">
        <v>355</v>
      </c>
      <c r="K7" s="966" t="s">
        <v>356</v>
      </c>
      <c r="L7" s="966" t="s">
        <v>427</v>
      </c>
      <c r="M7" s="966" t="s">
        <v>2252</v>
      </c>
      <c r="N7" s="830" t="s">
        <v>2012</v>
      </c>
      <c r="O7" s="976" t="s">
        <v>2013</v>
      </c>
      <c r="P7" s="1032" t="s">
        <v>2253</v>
      </c>
      <c r="Q7" s="831" t="s">
        <v>2224</v>
      </c>
      <c r="R7" s="831" t="s">
        <v>2225</v>
      </c>
      <c r="S7" s="831" t="s">
        <v>2226</v>
      </c>
      <c r="T7" s="113"/>
      <c r="AN7" s="175" t="s">
        <v>348</v>
      </c>
      <c r="AO7" s="176" t="s">
        <v>266</v>
      </c>
      <c r="AP7" s="174" t="s">
        <v>354</v>
      </c>
      <c r="AQ7" s="174" t="s">
        <v>355</v>
      </c>
      <c r="AR7" s="174" t="s">
        <v>356</v>
      </c>
      <c r="AS7" s="773" t="s">
        <v>427</v>
      </c>
      <c r="AT7" s="176" t="s">
        <v>2012</v>
      </c>
      <c r="AU7" s="176" t="s">
        <v>2013</v>
      </c>
      <c r="AV7" s="774"/>
    </row>
    <row r="8" spans="2:48">
      <c r="B8" s="112"/>
      <c r="C8" s="125"/>
      <c r="D8" s="125"/>
      <c r="E8" s="125"/>
      <c r="F8" s="125"/>
      <c r="G8" s="125"/>
      <c r="H8" s="153" t="s">
        <v>350</v>
      </c>
      <c r="I8" s="162">
        <f>AO8/$AO$5</f>
        <v>599.59343722296467</v>
      </c>
      <c r="J8" s="155">
        <f>AP8/$AP$5</f>
        <v>726.34224850691601</v>
      </c>
      <c r="K8" s="155">
        <f>AQ8/$AQ$5</f>
        <v>937.09385598802487</v>
      </c>
      <c r="L8" s="155">
        <f>AR8/$AR$5</f>
        <v>1085.8120188302794</v>
      </c>
      <c r="M8" s="155">
        <f>AS8/$AS$5</f>
        <v>1199.3442938671903</v>
      </c>
      <c r="N8" s="166">
        <f>+M8-L8</f>
        <v>113.53227503691096</v>
      </c>
      <c r="O8" s="977">
        <f t="shared" ref="O8:O25" si="0">+M8-I8</f>
        <v>599.75085664422568</v>
      </c>
      <c r="P8" s="979">
        <f>+J8-I8</f>
        <v>126.74881128395134</v>
      </c>
      <c r="Q8" s="775">
        <f>+K8-I8</f>
        <v>337.5004187650602</v>
      </c>
      <c r="R8" s="775">
        <f>+L8-I8</f>
        <v>486.21858160731472</v>
      </c>
      <c r="S8" s="975">
        <f>+M8-I8</f>
        <v>599.75085664422568</v>
      </c>
      <c r="T8" s="113"/>
      <c r="U8" s="508"/>
      <c r="V8" s="108" t="s">
        <v>2230</v>
      </c>
      <c r="AN8" s="153" t="s">
        <v>350</v>
      </c>
      <c r="AO8" s="162">
        <f>U53/1000</f>
        <v>1967.8656609657701</v>
      </c>
      <c r="AP8" s="155">
        <f>X56/1000</f>
        <v>2396.7115173982706</v>
      </c>
      <c r="AQ8" s="155">
        <f>AA54/1000</f>
        <v>3045.8267891793175</v>
      </c>
      <c r="AR8" s="155">
        <f>AD56/1000</f>
        <v>3494.5882595235598</v>
      </c>
      <c r="AS8" s="155">
        <f>AG56/1000</f>
        <v>3970.0694815591737</v>
      </c>
      <c r="AT8" s="776">
        <f>AS8-AR8</f>
        <v>475.48122203561388</v>
      </c>
      <c r="AU8" s="777">
        <f>AS8-AO8</f>
        <v>2002.2038205934036</v>
      </c>
      <c r="AV8" s="797"/>
    </row>
    <row r="9" spans="2:48">
      <c r="B9" s="112"/>
      <c r="C9" s="125"/>
      <c r="D9" s="125"/>
      <c r="E9" s="125"/>
      <c r="F9" s="125"/>
      <c r="G9" s="125"/>
      <c r="H9" s="153" t="s">
        <v>351</v>
      </c>
      <c r="I9" s="162">
        <f>AO9/$AO$5</f>
        <v>272.59075844123578</v>
      </c>
      <c r="J9" s="155">
        <f t="shared" ref="J9:J11" si="1">AP9/$AP$5</f>
        <v>281.21756203291199</v>
      </c>
      <c r="K9" s="155">
        <f t="shared" ref="K9:K11" si="2">AQ9/$AQ$5</f>
        <v>354.89075707041525</v>
      </c>
      <c r="L9" s="155">
        <f t="shared" ref="L9:L11" si="3">AR9/$AR$5</f>
        <v>401.70326676456182</v>
      </c>
      <c r="M9" s="155">
        <f>AS9/$AS$5</f>
        <v>435.62081408532822</v>
      </c>
      <c r="N9" s="166">
        <f t="shared" ref="N9:N20" si="4">+M9-L9</f>
        <v>33.917547320766403</v>
      </c>
      <c r="O9" s="977">
        <f t="shared" si="0"/>
        <v>163.03005564409244</v>
      </c>
      <c r="P9" s="979">
        <f t="shared" ref="P9:P24" si="5">+J9-I9</f>
        <v>8.6268035916762074</v>
      </c>
      <c r="Q9" s="775">
        <f t="shared" ref="Q9:Q24" si="6">+K9-I9</f>
        <v>82.29999862917947</v>
      </c>
      <c r="R9" s="775">
        <f t="shared" ref="R9:R24" si="7">+L9-I9</f>
        <v>129.11250832332604</v>
      </c>
      <c r="S9" s="975">
        <f t="shared" ref="S9:S24" si="8">+M9-I9</f>
        <v>163.03005564409244</v>
      </c>
      <c r="T9" s="113"/>
      <c r="U9" s="508"/>
      <c r="AN9" s="153" t="s">
        <v>351</v>
      </c>
      <c r="AO9" s="162">
        <f>U69/1000</f>
        <v>894.64286920413576</v>
      </c>
      <c r="AP9" s="155">
        <f>X70/1000</f>
        <v>927.93358943999976</v>
      </c>
      <c r="AQ9" s="155">
        <f>AA71/1000</f>
        <v>1153.4978787984001</v>
      </c>
      <c r="AR9" s="155">
        <f>AD76/1000</f>
        <v>1292.8458107877334</v>
      </c>
      <c r="AS9" s="155">
        <f>AG76/1000</f>
        <v>1441.9920187852535</v>
      </c>
      <c r="AT9" s="776">
        <f t="shared" ref="AT9:AT10" si="9">AS9-AR9</f>
        <v>149.14620799752015</v>
      </c>
      <c r="AU9" s="777">
        <f t="shared" ref="AU9:AU10" si="10">AS9-AO9</f>
        <v>547.34914958111779</v>
      </c>
      <c r="AV9" s="797"/>
    </row>
    <row r="10" spans="2:48">
      <c r="B10" s="112"/>
      <c r="C10" s="125"/>
      <c r="D10" s="125"/>
      <c r="E10" s="125"/>
      <c r="F10" s="125"/>
      <c r="G10" s="125"/>
      <c r="H10" s="153" t="s">
        <v>352</v>
      </c>
      <c r="I10" s="162">
        <f>AO10/$AO$5</f>
        <v>78.500243365045833</v>
      </c>
      <c r="J10" s="155">
        <f t="shared" si="1"/>
        <v>141.42849381540975</v>
      </c>
      <c r="K10" s="155">
        <f t="shared" si="2"/>
        <v>73.383459125318097</v>
      </c>
      <c r="L10" s="155">
        <f t="shared" si="3"/>
        <v>90.20443653063532</v>
      </c>
      <c r="M10" s="155">
        <f>AS10/$AS$5</f>
        <v>82.005310253156907</v>
      </c>
      <c r="N10" s="166">
        <f t="shared" si="4"/>
        <v>-8.1991262774784133</v>
      </c>
      <c r="O10" s="977">
        <f t="shared" si="0"/>
        <v>3.5050668881110738</v>
      </c>
      <c r="P10" s="979">
        <f t="shared" si="5"/>
        <v>62.928250450363919</v>
      </c>
      <c r="Q10" s="775">
        <f t="shared" si="6"/>
        <v>-5.1167842397277354</v>
      </c>
      <c r="R10" s="775">
        <f t="shared" si="7"/>
        <v>11.704193165589487</v>
      </c>
      <c r="S10" s="775">
        <f t="shared" si="8"/>
        <v>3.5050668881110738</v>
      </c>
      <c r="T10" s="113"/>
      <c r="U10" s="508"/>
      <c r="AN10" s="153" t="s">
        <v>352</v>
      </c>
      <c r="AO10" s="162">
        <f>U52/1000</f>
        <v>257.63779872408043</v>
      </c>
      <c r="AP10" s="155">
        <f>SUM(X52:X53)/1000</f>
        <v>466.67160104270761</v>
      </c>
      <c r="AQ10" s="155">
        <f>SUM(AA52:AA53)/1000</f>
        <v>238.51752336043018</v>
      </c>
      <c r="AR10" s="155">
        <f>SUM(AD52:AD53)/1000</f>
        <v>290.31486057456203</v>
      </c>
      <c r="AS10" s="155">
        <f>SUM(AG52:AG53)/1000</f>
        <v>271.45397800000001</v>
      </c>
      <c r="AT10" s="776">
        <f t="shared" si="9"/>
        <v>-18.860882574562027</v>
      </c>
      <c r="AU10" s="777">
        <f t="shared" si="10"/>
        <v>13.816179275919581</v>
      </c>
      <c r="AV10" s="778"/>
    </row>
    <row r="11" spans="2:48">
      <c r="B11" s="112"/>
      <c r="C11" s="125"/>
      <c r="D11" s="125"/>
      <c r="E11" s="125"/>
      <c r="F11" s="125"/>
      <c r="G11" s="125"/>
      <c r="H11" s="153" t="s">
        <v>353</v>
      </c>
      <c r="I11" s="162">
        <f>AO11/$AO$5</f>
        <v>488.35903641446055</v>
      </c>
      <c r="J11" s="155">
        <f t="shared" si="1"/>
        <v>416.2266985109398</v>
      </c>
      <c r="K11" s="155">
        <f t="shared" si="2"/>
        <v>570.44553740572962</v>
      </c>
      <c r="L11" s="155">
        <f t="shared" si="3"/>
        <v>420.79153617041408</v>
      </c>
      <c r="M11" s="155">
        <f>AS11/$AS$5</f>
        <v>438.81470821997982</v>
      </c>
      <c r="N11" s="166">
        <f t="shared" si="4"/>
        <v>18.023172049565744</v>
      </c>
      <c r="O11" s="977">
        <f t="shared" si="0"/>
        <v>-49.544328194480727</v>
      </c>
      <c r="P11" s="979">
        <f t="shared" si="5"/>
        <v>-72.132337903520749</v>
      </c>
      <c r="Q11" s="775">
        <f t="shared" si="6"/>
        <v>82.086500991269077</v>
      </c>
      <c r="R11" s="775">
        <f t="shared" si="7"/>
        <v>-67.567500244046471</v>
      </c>
      <c r="S11" s="775">
        <f t="shared" si="8"/>
        <v>-49.544328194480727</v>
      </c>
      <c r="T11" s="113"/>
      <c r="U11" s="508"/>
      <c r="V11" s="151"/>
      <c r="W11" s="151">
        <f t="shared" ref="W11:Z23" si="11">AP12/1000</f>
        <v>5.1647399449575255</v>
      </c>
      <c r="X11" s="151">
        <f t="shared" si="11"/>
        <v>6.2919556171126167</v>
      </c>
      <c r="Y11" s="151">
        <f t="shared" si="11"/>
        <v>6.432028618812077</v>
      </c>
      <c r="Z11" s="151">
        <f>AS12/1000</f>
        <v>7.1360799254942036</v>
      </c>
      <c r="AN11" s="153" t="s">
        <v>353</v>
      </c>
      <c r="AO11" s="162">
        <f>AO12-SUM(AO8:AO10)</f>
        <v>1602.7943575122595</v>
      </c>
      <c r="AP11" s="155">
        <f>AP12-SUM(AP8:AP10)</f>
        <v>1373.423237076548</v>
      </c>
      <c r="AQ11" s="155">
        <f>AQ12-SUM(AQ8:AQ10)</f>
        <v>1854.1134257744689</v>
      </c>
      <c r="AR11" s="155">
        <f>AR12-SUM(AR8:AR10)</f>
        <v>1354.2796879262223</v>
      </c>
      <c r="AS11" s="155">
        <f>AS12-SUM(AS8:AS10)</f>
        <v>1452.5644471497772</v>
      </c>
      <c r="AT11" s="776">
        <f>AS11-AR11</f>
        <v>98.284759223554829</v>
      </c>
      <c r="AU11" s="777">
        <f>AS11-AO11</f>
        <v>-150.22991036248231</v>
      </c>
      <c r="AV11" s="778"/>
    </row>
    <row r="12" spans="2:48">
      <c r="B12" s="112"/>
      <c r="C12" s="125"/>
      <c r="D12" s="125"/>
      <c r="E12" s="125"/>
      <c r="F12" s="125"/>
      <c r="G12" s="125"/>
      <c r="H12" s="154" t="s">
        <v>361</v>
      </c>
      <c r="I12" s="163">
        <f>SUM(I8:I11)</f>
        <v>1439.0434754437069</v>
      </c>
      <c r="J12" s="152">
        <f>SUM(J8:J11)</f>
        <v>1565.2150028661774</v>
      </c>
      <c r="K12" s="152">
        <f>SUM(K8:K11)</f>
        <v>1935.8136095894879</v>
      </c>
      <c r="L12" s="152">
        <f>SUM(L8:L11)</f>
        <v>1998.5112582958907</v>
      </c>
      <c r="M12" s="152">
        <f>SUM(M8:M11)</f>
        <v>2155.7851264256551</v>
      </c>
      <c r="N12" s="167">
        <f t="shared" si="4"/>
        <v>157.27386812976442</v>
      </c>
      <c r="O12" s="967">
        <f t="shared" si="0"/>
        <v>716.74165098194817</v>
      </c>
      <c r="P12" s="980">
        <f t="shared" si="5"/>
        <v>126.17152742247049</v>
      </c>
      <c r="Q12" s="973">
        <f t="shared" si="6"/>
        <v>496.77013414578096</v>
      </c>
      <c r="R12" s="973">
        <f t="shared" si="7"/>
        <v>559.46778285218375</v>
      </c>
      <c r="S12" s="973">
        <f t="shared" si="8"/>
        <v>716.74165098194817</v>
      </c>
      <c r="T12" s="113"/>
      <c r="V12" s="151"/>
      <c r="W12" s="151">
        <f t="shared" si="11"/>
        <v>1.1667594208730709</v>
      </c>
      <c r="X12" s="151">
        <f t="shared" si="11"/>
        <v>1.4386319886295975</v>
      </c>
      <c r="Y12" s="151">
        <f t="shared" si="11"/>
        <v>1.2423698482352035</v>
      </c>
      <c r="Z12" s="151">
        <f>AS13/1000</f>
        <v>1.4462617220105889</v>
      </c>
      <c r="AN12" s="154" t="s">
        <v>361</v>
      </c>
      <c r="AO12" s="163">
        <v>4722.9406864062457</v>
      </c>
      <c r="AP12" s="152">
        <v>5164.7399449575259</v>
      </c>
      <c r="AQ12" s="152">
        <v>6291.9556171126169</v>
      </c>
      <c r="AR12" s="152">
        <v>6432.0286188120772</v>
      </c>
      <c r="AS12" s="152">
        <f>+AG85/1000</f>
        <v>7136.079925494204</v>
      </c>
      <c r="AT12" s="167">
        <f>+AS12-AR12</f>
        <v>704.05130668212678</v>
      </c>
      <c r="AU12" s="159">
        <f>+AS12-AO12</f>
        <v>2413.1392390879582</v>
      </c>
      <c r="AV12" s="779"/>
    </row>
    <row r="13" spans="2:48">
      <c r="B13" s="112"/>
      <c r="C13" s="125"/>
      <c r="D13" s="125"/>
      <c r="E13" s="125"/>
      <c r="F13" s="125"/>
      <c r="G13" s="125"/>
      <c r="H13" s="153" t="s">
        <v>283</v>
      </c>
      <c r="I13" s="162">
        <f t="shared" ref="I13:I23" si="12">AO13/$AO$5</f>
        <v>311.94049159395564</v>
      </c>
      <c r="J13" s="155">
        <f t="shared" ref="J13:J17" si="13">AP13/$AP$5</f>
        <v>353.59560592571171</v>
      </c>
      <c r="K13" s="155">
        <f t="shared" ref="K13:K17" si="14">AQ13/$AQ$5</f>
        <v>442.61650149051241</v>
      </c>
      <c r="L13" s="155">
        <f t="shared" ref="L13:L17" si="15">AR13/$AR$5</f>
        <v>386.01975765524082</v>
      </c>
      <c r="M13" s="155">
        <f>AS13/$AS$5</f>
        <v>436.91067669947103</v>
      </c>
      <c r="N13" s="168">
        <f t="shared" si="4"/>
        <v>50.890919044230202</v>
      </c>
      <c r="O13" s="780">
        <f t="shared" si="0"/>
        <v>124.97018510551538</v>
      </c>
      <c r="P13" s="979">
        <f t="shared" si="5"/>
        <v>41.655114331756067</v>
      </c>
      <c r="Q13" s="775">
        <f t="shared" si="6"/>
        <v>130.67600989655676</v>
      </c>
      <c r="R13" s="775">
        <f t="shared" si="7"/>
        <v>74.079266061285182</v>
      </c>
      <c r="S13" s="975">
        <f t="shared" si="8"/>
        <v>124.97018510551538</v>
      </c>
      <c r="T13" s="113"/>
      <c r="V13" s="151" t="s">
        <v>2228</v>
      </c>
      <c r="W13" s="151">
        <f t="shared" si="11"/>
        <v>2.1986886423166263</v>
      </c>
      <c r="X13" s="151">
        <f t="shared" si="11"/>
        <v>1.45874796337837</v>
      </c>
      <c r="Y13" s="151">
        <f t="shared" si="11"/>
        <v>1.4441749405213384</v>
      </c>
      <c r="Z13" s="151">
        <f t="shared" si="11"/>
        <v>1.398438127055037</v>
      </c>
      <c r="AN13" s="153" t="s">
        <v>283</v>
      </c>
      <c r="AO13" s="162">
        <v>1023.7886934113624</v>
      </c>
      <c r="AP13" s="155">
        <v>1166.7594208730709</v>
      </c>
      <c r="AQ13" s="155">
        <v>1438.6319886295976</v>
      </c>
      <c r="AR13" s="155">
        <v>1242.3698482352036</v>
      </c>
      <c r="AS13" s="155">
        <f>+J37</f>
        <v>1446.261722010589</v>
      </c>
      <c r="AT13" s="168">
        <f t="shared" ref="AT13:AT17" si="16">AS13-AR13</f>
        <v>203.89187377538542</v>
      </c>
      <c r="AU13" s="160">
        <f t="shared" ref="AU13:AU17" si="17">AS13-AO13</f>
        <v>422.47302859922661</v>
      </c>
      <c r="AV13" s="799"/>
    </row>
    <row r="14" spans="2:48">
      <c r="B14" s="112"/>
      <c r="C14" s="125"/>
      <c r="D14" s="125"/>
      <c r="E14" s="125"/>
      <c r="F14" s="125"/>
      <c r="G14" s="125"/>
      <c r="H14" s="153" t="s">
        <v>286</v>
      </c>
      <c r="I14" s="162">
        <f t="shared" si="12"/>
        <v>340.12209997914101</v>
      </c>
      <c r="J14" s="155">
        <f t="shared" si="13"/>
        <v>666.32986099240111</v>
      </c>
      <c r="K14" s="155">
        <f t="shared" si="14"/>
        <v>448.805479935135</v>
      </c>
      <c r="L14" s="155">
        <f t="shared" si="15"/>
        <v>448.72310877773134</v>
      </c>
      <c r="M14" s="155">
        <f>AS14/$AS$5</f>
        <v>422.46333365205641</v>
      </c>
      <c r="N14" s="168">
        <f t="shared" si="4"/>
        <v>-26.259775125674935</v>
      </c>
      <c r="O14" s="780">
        <f t="shared" si="0"/>
        <v>82.341233672915394</v>
      </c>
      <c r="P14" s="979">
        <f t="shared" si="5"/>
        <v>326.2077610132601</v>
      </c>
      <c r="Q14" s="775">
        <f t="shared" si="6"/>
        <v>108.68337995599398</v>
      </c>
      <c r="R14" s="775">
        <f t="shared" si="7"/>
        <v>108.60100879859033</v>
      </c>
      <c r="S14" s="775">
        <f t="shared" si="8"/>
        <v>82.341233672915394</v>
      </c>
      <c r="T14" s="113"/>
      <c r="V14" s="151"/>
      <c r="W14" s="151">
        <f t="shared" si="11"/>
        <v>0.1126947068105781</v>
      </c>
      <c r="X14" s="151">
        <f t="shared" si="11"/>
        <v>0.20173353756083293</v>
      </c>
      <c r="Y14" s="151">
        <f t="shared" si="11"/>
        <v>0.19295875613379188</v>
      </c>
      <c r="Z14" s="151">
        <f t="shared" si="11"/>
        <v>0.70513013775854572</v>
      </c>
      <c r="AN14" s="153" t="s">
        <v>286</v>
      </c>
      <c r="AO14" s="162">
        <v>1116.2807321315408</v>
      </c>
      <c r="AP14" s="155">
        <v>2198.6886423166261</v>
      </c>
      <c r="AQ14" s="155">
        <v>1458.7479633783701</v>
      </c>
      <c r="AR14" s="155">
        <v>1444.1749405213384</v>
      </c>
      <c r="AS14" s="155">
        <f>+J40</f>
        <v>1398.4381270550371</v>
      </c>
      <c r="AT14" s="168">
        <f t="shared" si="16"/>
        <v>-45.736813466301328</v>
      </c>
      <c r="AU14" s="160">
        <f t="shared" si="17"/>
        <v>282.15739492349621</v>
      </c>
      <c r="AV14" s="799"/>
    </row>
    <row r="15" spans="2:48">
      <c r="B15" s="112"/>
      <c r="C15" s="125"/>
      <c r="D15" s="125"/>
      <c r="E15" s="125"/>
      <c r="F15" s="125"/>
      <c r="G15" s="125"/>
      <c r="H15" s="153" t="s">
        <v>288</v>
      </c>
      <c r="I15" s="162">
        <f t="shared" si="12"/>
        <v>32.794397928092629</v>
      </c>
      <c r="J15" s="155">
        <f t="shared" si="13"/>
        <v>34.153015974354666</v>
      </c>
      <c r="K15" s="155">
        <f t="shared" si="14"/>
        <v>62.066319485594491</v>
      </c>
      <c r="L15" s="155">
        <f t="shared" si="15"/>
        <v>59.954684497559931</v>
      </c>
      <c r="M15" s="155">
        <f>AS15/$AS$5</f>
        <v>213.01738195835469</v>
      </c>
      <c r="N15" s="168">
        <f t="shared" si="4"/>
        <v>153.06269746079477</v>
      </c>
      <c r="O15" s="978">
        <f t="shared" si="0"/>
        <v>180.22298403026207</v>
      </c>
      <c r="P15" s="979">
        <f t="shared" si="5"/>
        <v>1.3586180462620376</v>
      </c>
      <c r="Q15" s="775">
        <f t="shared" si="6"/>
        <v>29.271921557501862</v>
      </c>
      <c r="R15" s="775">
        <f t="shared" si="7"/>
        <v>27.160286569467303</v>
      </c>
      <c r="S15" s="975">
        <f t="shared" si="8"/>
        <v>180.22298403026207</v>
      </c>
      <c r="T15" s="113"/>
      <c r="V15" s="151" t="s">
        <v>2227</v>
      </c>
      <c r="W15" s="151">
        <f t="shared" si="11"/>
        <v>0.70534295144677506</v>
      </c>
      <c r="X15" s="151">
        <f t="shared" si="11"/>
        <v>0.74471451642885378</v>
      </c>
      <c r="Y15" s="151">
        <f t="shared" si="11"/>
        <v>0.78934529187628832</v>
      </c>
      <c r="Z15" s="151">
        <f t="shared" si="11"/>
        <v>0.58363065076625997</v>
      </c>
      <c r="AN15" s="153" t="s">
        <v>288</v>
      </c>
      <c r="AO15" s="162">
        <v>107.63121400000001</v>
      </c>
      <c r="AP15" s="155">
        <v>112.6947068105781</v>
      </c>
      <c r="AQ15" s="155">
        <v>201.73353756083293</v>
      </c>
      <c r="AR15" s="155">
        <v>192.95875613379187</v>
      </c>
      <c r="AS15" s="155">
        <f>J42</f>
        <v>705.13013775854574</v>
      </c>
      <c r="AT15" s="168">
        <f t="shared" si="16"/>
        <v>512.17138162475385</v>
      </c>
      <c r="AU15" s="160">
        <f t="shared" si="17"/>
        <v>597.49892375854574</v>
      </c>
      <c r="AV15" s="798"/>
    </row>
    <row r="16" spans="2:48">
      <c r="B16" s="112"/>
      <c r="C16" s="125"/>
      <c r="D16" s="125"/>
      <c r="E16" s="125"/>
      <c r="F16" s="125"/>
      <c r="G16" s="125"/>
      <c r="H16" s="153" t="s">
        <v>289</v>
      </c>
      <c r="I16" s="162">
        <f t="shared" si="12"/>
        <v>210.00768184399578</v>
      </c>
      <c r="J16" s="155">
        <f t="shared" si="13"/>
        <v>213.75972101911537</v>
      </c>
      <c r="K16" s="155">
        <f t="shared" si="14"/>
        <v>229.12248335651705</v>
      </c>
      <c r="L16" s="155">
        <f t="shared" si="15"/>
        <v>245.25939575016494</v>
      </c>
      <c r="M16" s="155">
        <f>AS16/$AS$5</f>
        <v>176.31280610424142</v>
      </c>
      <c r="N16" s="168">
        <f t="shared" si="4"/>
        <v>-68.946589645923524</v>
      </c>
      <c r="O16" s="780">
        <f t="shared" si="0"/>
        <v>-33.694875739754366</v>
      </c>
      <c r="P16" s="979">
        <f t="shared" si="5"/>
        <v>3.7520391751195916</v>
      </c>
      <c r="Q16" s="775">
        <f t="shared" si="6"/>
        <v>19.114801512521268</v>
      </c>
      <c r="R16" s="775">
        <f t="shared" si="7"/>
        <v>35.251713906169158</v>
      </c>
      <c r="S16" s="775">
        <f t="shared" si="8"/>
        <v>-33.694875739754366</v>
      </c>
      <c r="T16" s="113"/>
      <c r="V16" s="151"/>
      <c r="W16" s="151">
        <f t="shared" si="11"/>
        <v>0.31932418694025905</v>
      </c>
      <c r="X16" s="151">
        <f t="shared" si="11"/>
        <v>0.30605784664720281</v>
      </c>
      <c r="Y16" s="151">
        <f t="shared" si="11"/>
        <v>0.31130543703545405</v>
      </c>
      <c r="Z16" s="151">
        <f t="shared" si="11"/>
        <v>0.38567442271899433</v>
      </c>
      <c r="AN16" s="153" t="s">
        <v>289</v>
      </c>
      <c r="AO16" s="162">
        <v>689.24521181199418</v>
      </c>
      <c r="AP16" s="155">
        <v>705.34295144677503</v>
      </c>
      <c r="AQ16" s="155">
        <v>744.71451642885381</v>
      </c>
      <c r="AR16" s="155">
        <v>789.34529187628834</v>
      </c>
      <c r="AS16" s="155">
        <f>+J43</f>
        <v>583.63065076625992</v>
      </c>
      <c r="AT16" s="168">
        <f t="shared" si="16"/>
        <v>-205.71464111002842</v>
      </c>
      <c r="AU16" s="160">
        <f t="shared" si="17"/>
        <v>-105.61456104573426</v>
      </c>
      <c r="AV16" s="780"/>
    </row>
    <row r="17" spans="2:48">
      <c r="B17" s="112"/>
      <c r="C17" s="125"/>
      <c r="D17" s="125"/>
      <c r="E17" s="125"/>
      <c r="F17" s="125"/>
      <c r="G17" s="125"/>
      <c r="H17" s="153" t="s">
        <v>292</v>
      </c>
      <c r="I17" s="162">
        <f t="shared" si="12"/>
        <v>60.113578616291825</v>
      </c>
      <c r="J17" s="155">
        <f t="shared" si="13"/>
        <v>96.773702742752079</v>
      </c>
      <c r="K17" s="155">
        <f t="shared" si="14"/>
        <v>94.163242863622273</v>
      </c>
      <c r="L17" s="155">
        <f t="shared" si="15"/>
        <v>96.726469603143798</v>
      </c>
      <c r="M17" s="155">
        <f>AS17/$AS$5</f>
        <v>116.51091254878688</v>
      </c>
      <c r="N17" s="168">
        <f t="shared" si="4"/>
        <v>19.784442945643079</v>
      </c>
      <c r="O17" s="780">
        <f t="shared" si="0"/>
        <v>56.397333932495052</v>
      </c>
      <c r="P17" s="979">
        <f t="shared" si="5"/>
        <v>36.660124126460254</v>
      </c>
      <c r="Q17" s="775">
        <f t="shared" si="6"/>
        <v>34.049664247330448</v>
      </c>
      <c r="R17" s="775">
        <f t="shared" si="7"/>
        <v>36.612890986851973</v>
      </c>
      <c r="S17" s="775">
        <f t="shared" si="8"/>
        <v>56.397333932495052</v>
      </c>
      <c r="T17" s="113"/>
      <c r="V17" s="151"/>
      <c r="W17" s="151">
        <f t="shared" si="11"/>
        <v>4.5028099083873094</v>
      </c>
      <c r="X17" s="151">
        <f t="shared" si="11"/>
        <v>4.1498858526448563</v>
      </c>
      <c r="Y17" s="151">
        <f t="shared" si="11"/>
        <v>3.9801542738020759</v>
      </c>
      <c r="Z17" s="151">
        <f t="shared" si="11"/>
        <v>4.5191350603094271</v>
      </c>
      <c r="AN17" s="153" t="s">
        <v>292</v>
      </c>
      <c r="AO17" s="162">
        <v>197.29276501866977</v>
      </c>
      <c r="AP17" s="155">
        <v>319.32418694025904</v>
      </c>
      <c r="AQ17" s="155">
        <v>306.05784664720284</v>
      </c>
      <c r="AR17" s="155">
        <v>311.30543703545402</v>
      </c>
      <c r="AS17" s="155">
        <f>+J46</f>
        <v>385.67442271899432</v>
      </c>
      <c r="AT17" s="168">
        <f t="shared" si="16"/>
        <v>74.368985683540302</v>
      </c>
      <c r="AU17" s="160">
        <f t="shared" si="17"/>
        <v>188.38165770032455</v>
      </c>
      <c r="AV17" s="780"/>
    </row>
    <row r="18" spans="2:48">
      <c r="B18" s="112"/>
      <c r="C18" s="125"/>
      <c r="D18" s="125"/>
      <c r="E18" s="125"/>
      <c r="F18" s="125"/>
      <c r="G18" s="125"/>
      <c r="H18" s="154" t="s">
        <v>370</v>
      </c>
      <c r="I18" s="163">
        <f>SUM(I13:I17)</f>
        <v>954.97824996147688</v>
      </c>
      <c r="J18" s="152">
        <f t="shared" ref="J18:M18" si="18">SUM(J13:J17)</f>
        <v>1364.6119066543349</v>
      </c>
      <c r="K18" s="152">
        <f t="shared" si="18"/>
        <v>1276.7740271313812</v>
      </c>
      <c r="L18" s="152">
        <f t="shared" si="18"/>
        <v>1236.6834162838409</v>
      </c>
      <c r="M18" s="152">
        <f t="shared" si="18"/>
        <v>1365.2151109629103</v>
      </c>
      <c r="N18" s="167">
        <f>+M18-L18</f>
        <v>128.53169467906946</v>
      </c>
      <c r="O18" s="967">
        <f t="shared" si="0"/>
        <v>410.23686100143345</v>
      </c>
      <c r="P18" s="980">
        <f t="shared" si="5"/>
        <v>409.63365669285804</v>
      </c>
      <c r="Q18" s="973">
        <f t="shared" si="6"/>
        <v>321.79577716990434</v>
      </c>
      <c r="R18" s="973">
        <f t="shared" si="7"/>
        <v>281.70516632236399</v>
      </c>
      <c r="S18" s="973">
        <f t="shared" si="8"/>
        <v>410.23686100143345</v>
      </c>
      <c r="T18" s="113"/>
      <c r="V18" s="151"/>
      <c r="W18" s="151">
        <f t="shared" si="11"/>
        <v>1.065124790911911</v>
      </c>
      <c r="X18" s="151">
        <f t="shared" si="11"/>
        <v>1.6278323621257647</v>
      </c>
      <c r="Y18" s="151">
        <f t="shared" si="11"/>
        <v>1.2485486502218182</v>
      </c>
      <c r="Z18" s="151">
        <f t="shared" si="11"/>
        <v>0.99205137767356522</v>
      </c>
      <c r="AN18" s="154" t="s">
        <v>370</v>
      </c>
      <c r="AO18" s="163">
        <f>SUM(AO13:AO17)</f>
        <v>3134.2386163735673</v>
      </c>
      <c r="AP18" s="152">
        <f t="shared" ref="AP18:AS18" si="19">SUM(AP13:AP17)</f>
        <v>4502.8099083873094</v>
      </c>
      <c r="AQ18" s="152">
        <f t="shared" si="19"/>
        <v>4149.8858526448566</v>
      </c>
      <c r="AR18" s="152">
        <f t="shared" si="19"/>
        <v>3980.1542738020757</v>
      </c>
      <c r="AS18" s="152">
        <f t="shared" si="19"/>
        <v>4519.135060309427</v>
      </c>
      <c r="AT18" s="167">
        <f>AS18-AR18</f>
        <v>538.98078650735124</v>
      </c>
      <c r="AU18" s="159">
        <f>AS18-AO18</f>
        <v>1384.8964439358597</v>
      </c>
      <c r="AV18" s="779"/>
    </row>
    <row r="19" spans="2:48">
      <c r="B19" s="112"/>
      <c r="C19" s="125"/>
      <c r="D19" s="125"/>
      <c r="E19" s="125"/>
      <c r="F19" s="125"/>
      <c r="G19" s="125"/>
      <c r="H19" s="153" t="s">
        <v>287</v>
      </c>
      <c r="I19" s="162">
        <f t="shared" si="12"/>
        <v>223.23765937780291</v>
      </c>
      <c r="J19" s="155">
        <f t="shared" ref="J19:J20" si="20">AP19/$AP$5</f>
        <v>322.79443310358852</v>
      </c>
      <c r="K19" s="155">
        <f t="shared" ref="K19:K20" si="21">AQ19/$AQ$5</f>
        <v>500.82680687746773</v>
      </c>
      <c r="L19" s="155">
        <f t="shared" ref="L19:L20" si="22">AR19/$AR$5</f>
        <v>387.93958825066358</v>
      </c>
      <c r="M19" s="155">
        <f>AS19/$AS$5</f>
        <v>299.69529867487319</v>
      </c>
      <c r="N19" s="168">
        <f t="shared" si="4"/>
        <v>-88.24428957579039</v>
      </c>
      <c r="O19" s="780">
        <f t="shared" si="0"/>
        <v>76.457639297070273</v>
      </c>
      <c r="P19" s="979">
        <f t="shared" si="5"/>
        <v>99.556773725785604</v>
      </c>
      <c r="Q19" s="775">
        <f t="shared" si="6"/>
        <v>277.58914749966482</v>
      </c>
      <c r="R19" s="775">
        <f t="shared" si="7"/>
        <v>164.70192887286066</v>
      </c>
      <c r="S19" s="775">
        <f t="shared" si="8"/>
        <v>76.457639297070273</v>
      </c>
      <c r="T19" s="113"/>
      <c r="U19" s="508"/>
      <c r="V19" s="151"/>
      <c r="W19" s="151">
        <f t="shared" si="11"/>
        <v>0.19999004084950503</v>
      </c>
      <c r="X19" s="151">
        <f t="shared" si="11"/>
        <v>0.12802844789955098</v>
      </c>
      <c r="Y19" s="151">
        <f t="shared" si="11"/>
        <v>0.13346331810881995</v>
      </c>
      <c r="Z19" s="151">
        <f t="shared" si="11"/>
        <v>0.14950951048644109</v>
      </c>
      <c r="AN19" s="153" t="s">
        <v>287</v>
      </c>
      <c r="AO19" s="162">
        <v>732.66599807794921</v>
      </c>
      <c r="AP19" s="155">
        <v>1065.1247909119111</v>
      </c>
      <c r="AQ19" s="155">
        <v>1627.8323621257646</v>
      </c>
      <c r="AR19" s="155">
        <v>1248.5486502218182</v>
      </c>
      <c r="AS19" s="155">
        <f>+J41</f>
        <v>992.05137767356518</v>
      </c>
      <c r="AT19" s="168">
        <f t="shared" ref="AT19:AT25" si="23">AS19-AR19</f>
        <v>-256.49727254825302</v>
      </c>
      <c r="AU19" s="160">
        <f t="shared" ref="AU19:AU25" si="24">AS19-AO19</f>
        <v>259.38537959561597</v>
      </c>
      <c r="AV19" s="780"/>
    </row>
    <row r="20" spans="2:48">
      <c r="B20" s="112"/>
      <c r="C20" s="125"/>
      <c r="D20" s="125"/>
      <c r="E20" s="125"/>
      <c r="F20" s="125"/>
      <c r="G20" s="125"/>
      <c r="H20" s="153" t="s">
        <v>290</v>
      </c>
      <c r="I20" s="162">
        <f t="shared" si="12"/>
        <v>75.33758427112619</v>
      </c>
      <c r="J20" s="155">
        <f t="shared" si="20"/>
        <v>60.608552550081832</v>
      </c>
      <c r="K20" s="155">
        <f t="shared" si="21"/>
        <v>39.389853797522981</v>
      </c>
      <c r="L20" s="155">
        <f t="shared" si="22"/>
        <v>41.468712223992576</v>
      </c>
      <c r="M20" s="155">
        <f>AS20/$AS$5</f>
        <v>45.166307318724272</v>
      </c>
      <c r="N20" s="168">
        <f t="shared" si="4"/>
        <v>3.697595094731696</v>
      </c>
      <c r="O20" s="780">
        <f t="shared" si="0"/>
        <v>-30.171276952401918</v>
      </c>
      <c r="P20" s="979">
        <f t="shared" si="5"/>
        <v>-14.729031721044358</v>
      </c>
      <c r="Q20" s="775">
        <f t="shared" si="6"/>
        <v>-35.947730473603208</v>
      </c>
      <c r="R20" s="775">
        <f t="shared" si="7"/>
        <v>-33.868872047133614</v>
      </c>
      <c r="S20" s="775">
        <f t="shared" si="8"/>
        <v>-30.171276952401918</v>
      </c>
      <c r="T20" s="113"/>
      <c r="U20" s="508"/>
      <c r="V20" s="151"/>
      <c r="W20" s="151">
        <f t="shared" si="11"/>
        <v>1.265114831761416</v>
      </c>
      <c r="X20" s="151">
        <f t="shared" si="11"/>
        <v>1.7558608100253155</v>
      </c>
      <c r="Y20" s="151">
        <f t="shared" si="11"/>
        <v>1.3820119683306382</v>
      </c>
      <c r="Z20" s="151">
        <f t="shared" si="11"/>
        <v>1.1415608881600063</v>
      </c>
      <c r="AN20" s="153" t="s">
        <v>290</v>
      </c>
      <c r="AO20" s="162">
        <v>247.25795157783617</v>
      </c>
      <c r="AP20" s="155">
        <v>199.99004084950502</v>
      </c>
      <c r="AQ20" s="155">
        <v>128.02844789955097</v>
      </c>
      <c r="AR20" s="155">
        <v>133.46331810881995</v>
      </c>
      <c r="AS20" s="155">
        <f>+J44</f>
        <v>149.50951048644109</v>
      </c>
      <c r="AT20" s="168">
        <f t="shared" si="23"/>
        <v>16.046192377621139</v>
      </c>
      <c r="AU20" s="160">
        <f t="shared" si="24"/>
        <v>-97.74844109139508</v>
      </c>
      <c r="AV20" s="780"/>
    </row>
    <row r="21" spans="2:48">
      <c r="B21" s="112"/>
      <c r="C21" s="125"/>
      <c r="D21" s="125"/>
      <c r="E21" s="125"/>
      <c r="F21" s="125"/>
      <c r="G21" s="125"/>
      <c r="H21" s="154" t="s">
        <v>357</v>
      </c>
      <c r="I21" s="163">
        <f>I19+I20</f>
        <v>298.57524364892913</v>
      </c>
      <c r="J21" s="152">
        <f>J19+J20</f>
        <v>383.40298565367033</v>
      </c>
      <c r="K21" s="152">
        <f>K19+K20</f>
        <v>540.21666067499075</v>
      </c>
      <c r="L21" s="152">
        <f>L19+L20</f>
        <v>429.40830047465613</v>
      </c>
      <c r="M21" s="152">
        <f>M19+M20</f>
        <v>344.86160599359744</v>
      </c>
      <c r="N21" s="167">
        <f>+M21-L21</f>
        <v>-84.546694481058694</v>
      </c>
      <c r="O21" s="967">
        <f t="shared" si="0"/>
        <v>46.286362344668305</v>
      </c>
      <c r="P21" s="980">
        <f t="shared" si="5"/>
        <v>84.827742004741197</v>
      </c>
      <c r="Q21" s="973">
        <f t="shared" si="6"/>
        <v>241.64141702606162</v>
      </c>
      <c r="R21" s="973">
        <f t="shared" si="7"/>
        <v>130.833056825727</v>
      </c>
      <c r="S21" s="973">
        <f t="shared" si="8"/>
        <v>46.286362344668305</v>
      </c>
      <c r="T21" s="113"/>
      <c r="V21" s="151"/>
      <c r="W21" s="151">
        <f t="shared" si="11"/>
        <v>2.6715681703630736</v>
      </c>
      <c r="X21" s="151">
        <f t="shared" si="11"/>
        <v>2.4584731006460423</v>
      </c>
      <c r="Y21" s="151">
        <f t="shared" si="11"/>
        <v>2.3250984139722357</v>
      </c>
      <c r="Z21" s="151">
        <f t="shared" si="11"/>
        <v>3.677885091045483</v>
      </c>
      <c r="AN21" s="154" t="s">
        <v>357</v>
      </c>
      <c r="AO21" s="163">
        <f>AO19+AO20</f>
        <v>979.92394965578535</v>
      </c>
      <c r="AP21" s="152">
        <f>AP19+AP20</f>
        <v>1265.1148317614161</v>
      </c>
      <c r="AQ21" s="152">
        <f>AQ19+AQ20</f>
        <v>1755.8608100253155</v>
      </c>
      <c r="AR21" s="152">
        <f>AR19+AR20</f>
        <v>1382.0119683306382</v>
      </c>
      <c r="AS21" s="152">
        <f>AS19+AS20</f>
        <v>1141.5608881600062</v>
      </c>
      <c r="AT21" s="167">
        <f t="shared" si="23"/>
        <v>-240.45108017063194</v>
      </c>
      <c r="AU21" s="159">
        <f t="shared" si="24"/>
        <v>161.63693850422089</v>
      </c>
      <c r="AV21" s="779"/>
    </row>
    <row r="22" spans="2:48">
      <c r="B22" s="112"/>
      <c r="C22" s="125"/>
      <c r="D22" s="125"/>
      <c r="E22" s="125"/>
      <c r="F22" s="125"/>
      <c r="G22" s="125"/>
      <c r="H22" s="153" t="s">
        <v>372</v>
      </c>
      <c r="I22" s="162">
        <f t="shared" si="12"/>
        <v>801.9052435339529</v>
      </c>
      <c r="J22" s="155">
        <f t="shared" ref="J22:J23" si="25">AP22/$AP$5</f>
        <v>809.63971584176545</v>
      </c>
      <c r="K22" s="155">
        <f t="shared" ref="K22:K23" si="26">AQ22/$AQ$5</f>
        <v>756.38576885325381</v>
      </c>
      <c r="L22" s="155">
        <f t="shared" ref="L22:L23" si="27">AR22/$AR$5</f>
        <v>722.43698409221815</v>
      </c>
      <c r="M22" s="155">
        <f>AS22/$AS$5</f>
        <v>1111.0763975123807</v>
      </c>
      <c r="N22" s="168">
        <f t="shared" ref="N22:N25" si="28">+M22-L22</f>
        <v>388.63941342016255</v>
      </c>
      <c r="O22" s="978">
        <f t="shared" si="0"/>
        <v>309.17115397842781</v>
      </c>
      <c r="P22" s="979">
        <f t="shared" si="5"/>
        <v>7.7344723078125526</v>
      </c>
      <c r="Q22" s="775">
        <f t="shared" si="6"/>
        <v>-45.519474680699091</v>
      </c>
      <c r="R22" s="775">
        <f t="shared" si="7"/>
        <v>-79.468259441734745</v>
      </c>
      <c r="S22" s="975">
        <f t="shared" si="8"/>
        <v>309.17115397842781</v>
      </c>
      <c r="T22" s="113"/>
      <c r="U22" s="508"/>
      <c r="V22" s="151" t="s">
        <v>2229</v>
      </c>
      <c r="W22" s="151">
        <f t="shared" si="11"/>
        <v>3.2372353545292816</v>
      </c>
      <c r="X22" s="151">
        <f t="shared" si="11"/>
        <v>5.8443185844269401</v>
      </c>
      <c r="Y22" s="151">
        <f t="shared" si="11"/>
        <v>3.3076761416158917</v>
      </c>
      <c r="Z22" s="151">
        <f t="shared" si="11"/>
        <v>2.642627448254256</v>
      </c>
      <c r="AN22" s="153" t="s">
        <v>372</v>
      </c>
      <c r="AO22" s="162">
        <f>SUM(V38:V39)/1000</f>
        <v>2631.8530092784335</v>
      </c>
      <c r="AP22" s="155">
        <f>SUM(W38:W39)/1000</f>
        <v>2671.5681703630735</v>
      </c>
      <c r="AQ22" s="155">
        <f>SUM(X38:X39)/1000</f>
        <v>2458.4731006460424</v>
      </c>
      <c r="AR22" s="155">
        <f>SUM(Y38:Y39)/1000</f>
        <v>2325.0984139722359</v>
      </c>
      <c r="AS22" s="155">
        <f>SUM(Z38:Z39)/1000</f>
        <v>3677.885091045483</v>
      </c>
      <c r="AT22" s="168">
        <f t="shared" si="23"/>
        <v>1352.7866770732471</v>
      </c>
      <c r="AU22" s="160">
        <f t="shared" si="24"/>
        <v>1046.0320817670495</v>
      </c>
      <c r="AV22" s="798"/>
    </row>
    <row r="23" spans="2:48">
      <c r="B23" s="112"/>
      <c r="C23" s="125"/>
      <c r="D23" s="125"/>
      <c r="E23" s="125"/>
      <c r="F23" s="125"/>
      <c r="G23" s="125"/>
      <c r="H23" s="153" t="s">
        <v>358</v>
      </c>
      <c r="I23" s="162">
        <f t="shared" si="12"/>
        <v>749.27858337888904</v>
      </c>
      <c r="J23" s="155">
        <f t="shared" si="25"/>
        <v>981.06959860874679</v>
      </c>
      <c r="K23" s="155">
        <f t="shared" si="26"/>
        <v>1798.0914270501833</v>
      </c>
      <c r="L23" s="155">
        <f t="shared" si="27"/>
        <v>1027.7361000046269</v>
      </c>
      <c r="M23" s="155">
        <f>AS23/$AS$5</f>
        <v>798.32863520459659</v>
      </c>
      <c r="N23" s="168">
        <f t="shared" si="28"/>
        <v>-229.40746480003031</v>
      </c>
      <c r="O23" s="978">
        <f t="shared" si="0"/>
        <v>49.050051825707556</v>
      </c>
      <c r="P23" s="979">
        <f t="shared" si="5"/>
        <v>231.79101522985775</v>
      </c>
      <c r="Q23" s="775">
        <f t="shared" si="6"/>
        <v>1048.8128436712941</v>
      </c>
      <c r="R23" s="775">
        <f t="shared" si="7"/>
        <v>278.45751662573787</v>
      </c>
      <c r="S23" s="775">
        <f t="shared" si="8"/>
        <v>49.050051825707556</v>
      </c>
      <c r="T23" s="113"/>
      <c r="U23" s="508"/>
      <c r="V23" s="151"/>
      <c r="W23" s="151">
        <f t="shared" si="11"/>
        <v>5.9088035248923552</v>
      </c>
      <c r="X23" s="151">
        <f t="shared" si="11"/>
        <v>8.3027916850729824</v>
      </c>
      <c r="Y23" s="151">
        <f>AR24/1000</f>
        <v>5.632774555588127</v>
      </c>
      <c r="Z23" s="151">
        <f t="shared" si="11"/>
        <v>6.320512539299739</v>
      </c>
      <c r="AN23" s="153" t="s">
        <v>358</v>
      </c>
      <c r="AO23" s="162">
        <v>2459.1323106495138</v>
      </c>
      <c r="AP23" s="155">
        <v>3237.2353545292817</v>
      </c>
      <c r="AQ23" s="155">
        <v>5844.3185844269401</v>
      </c>
      <c r="AR23" s="155">
        <v>3307.6761416158915</v>
      </c>
      <c r="AS23" s="155">
        <f>+J39</f>
        <v>2642.6274482542558</v>
      </c>
      <c r="AT23" s="168">
        <f t="shared" si="23"/>
        <v>-665.04869336163574</v>
      </c>
      <c r="AU23" s="160">
        <f t="shared" si="24"/>
        <v>183.49513760474201</v>
      </c>
      <c r="AV23" s="798"/>
    </row>
    <row r="24" spans="2:48">
      <c r="B24" s="112"/>
      <c r="C24" s="125"/>
      <c r="D24" s="125"/>
      <c r="E24" s="125"/>
      <c r="F24" s="125"/>
      <c r="G24" s="125"/>
      <c r="H24" s="154" t="s">
        <v>359</v>
      </c>
      <c r="I24" s="163">
        <f>I22+I23</f>
        <v>1551.1838269128421</v>
      </c>
      <c r="J24" s="152">
        <f>J22+J23</f>
        <v>1790.7093144505122</v>
      </c>
      <c r="K24" s="152">
        <f>K22+K23</f>
        <v>2554.477195903437</v>
      </c>
      <c r="L24" s="152">
        <f>L22+L23</f>
        <v>1750.1730840968451</v>
      </c>
      <c r="M24" s="152">
        <f>M22+M23</f>
        <v>1909.4050327169773</v>
      </c>
      <c r="N24" s="167">
        <f t="shared" si="28"/>
        <v>159.23194862013224</v>
      </c>
      <c r="O24" s="967">
        <f t="shared" si="0"/>
        <v>358.22120580413525</v>
      </c>
      <c r="P24" s="980">
        <f t="shared" si="5"/>
        <v>239.52548753767019</v>
      </c>
      <c r="Q24" s="973">
        <f t="shared" si="6"/>
        <v>1003.2933689905949</v>
      </c>
      <c r="R24" s="973">
        <f t="shared" si="7"/>
        <v>198.98925718400301</v>
      </c>
      <c r="S24" s="973">
        <f t="shared" si="8"/>
        <v>358.22120580413525</v>
      </c>
      <c r="T24" s="113"/>
      <c r="AN24" s="154" t="s">
        <v>359</v>
      </c>
      <c r="AO24" s="163">
        <f>AO22+AO23</f>
        <v>5090.9853199279478</v>
      </c>
      <c r="AP24" s="152">
        <f>AP22+AP23</f>
        <v>5908.8035248923552</v>
      </c>
      <c r="AQ24" s="152">
        <f>AQ22+AQ23</f>
        <v>8302.7916850729816</v>
      </c>
      <c r="AR24" s="152">
        <f>AR22+AR23</f>
        <v>5632.7745555881274</v>
      </c>
      <c r="AS24" s="152">
        <f>AS22+AS23</f>
        <v>6320.5125392997388</v>
      </c>
      <c r="AT24" s="167">
        <f t="shared" si="23"/>
        <v>687.73798371161138</v>
      </c>
      <c r="AU24" s="159">
        <f t="shared" si="24"/>
        <v>1229.527219371791</v>
      </c>
      <c r="AV24" s="779"/>
    </row>
    <row r="25" spans="2:48" ht="15.75" thickBot="1">
      <c r="B25" s="112"/>
      <c r="C25" s="125"/>
      <c r="D25" s="125"/>
      <c r="E25" s="125"/>
      <c r="F25" s="125"/>
      <c r="G25" s="125"/>
      <c r="H25" s="156" t="s">
        <v>360</v>
      </c>
      <c r="I25" s="164">
        <f>I12+I18+I21+I24</f>
        <v>4243.7807959669553</v>
      </c>
      <c r="J25" s="157">
        <f>J12+J18+J21+J24</f>
        <v>5103.9392096246947</v>
      </c>
      <c r="K25" s="157">
        <f>K12+K18+K21+K24</f>
        <v>6307.2814932992969</v>
      </c>
      <c r="L25" s="157">
        <f>L12+L18+L21+L24</f>
        <v>5414.7760591512324</v>
      </c>
      <c r="M25" s="157">
        <f>M12+M18+M21+M24</f>
        <v>5775.2668760991401</v>
      </c>
      <c r="N25" s="169">
        <f t="shared" si="28"/>
        <v>360.49081694790766</v>
      </c>
      <c r="O25" s="968">
        <f t="shared" si="0"/>
        <v>1531.4860801321847</v>
      </c>
      <c r="P25" s="1025">
        <f>+P24+P21+P18+P12</f>
        <v>860.15841365773986</v>
      </c>
      <c r="Q25" s="1026">
        <f t="shared" ref="Q25:S25" si="29">+Q24+Q21+Q18+Q12</f>
        <v>2063.5006973323416</v>
      </c>
      <c r="R25" s="1026">
        <f t="shared" si="29"/>
        <v>1170.9952631842777</v>
      </c>
      <c r="S25" s="1026">
        <f t="shared" si="29"/>
        <v>1531.4860801321852</v>
      </c>
      <c r="T25" s="974"/>
      <c r="V25" s="108">
        <v>1018.3613096487322</v>
      </c>
      <c r="AN25" s="156" t="s">
        <v>360</v>
      </c>
      <c r="AO25" s="164">
        <f>AO12+AO18+AO21+AO24</f>
        <v>13928.088572363546</v>
      </c>
      <c r="AP25" s="157">
        <f>AP12+AP18+AP21+AP24</f>
        <v>16841.468209998606</v>
      </c>
      <c r="AQ25" s="157">
        <f>AQ12+AQ18+AQ21+AQ24</f>
        <v>20500.49396485577</v>
      </c>
      <c r="AR25" s="157">
        <f>AR12+AR18+AR21+AR24</f>
        <v>17426.96941653292</v>
      </c>
      <c r="AS25" s="157">
        <f>AS12+AS18+AS21+AS24</f>
        <v>19117.288413263377</v>
      </c>
      <c r="AT25" s="169">
        <f t="shared" si="23"/>
        <v>1690.318996730457</v>
      </c>
      <c r="AU25" s="161">
        <f t="shared" si="24"/>
        <v>5189.1998408998315</v>
      </c>
      <c r="AV25" s="781"/>
    </row>
    <row r="26" spans="2:48">
      <c r="B26" s="112"/>
      <c r="C26" s="125"/>
      <c r="D26" s="125"/>
      <c r="E26" s="125"/>
      <c r="F26" s="125"/>
      <c r="G26" s="125"/>
      <c r="H26" s="125"/>
      <c r="I26" s="125"/>
      <c r="J26" s="125"/>
      <c r="K26" s="125"/>
      <c r="L26" s="125"/>
      <c r="M26" s="125"/>
      <c r="N26" s="125"/>
      <c r="O26" s="125"/>
      <c r="P26" s="125"/>
      <c r="Q26" s="1027"/>
      <c r="R26" s="1027"/>
      <c r="S26" s="1027"/>
      <c r="T26" s="974"/>
      <c r="V26" s="108">
        <v>-152.63395353554552</v>
      </c>
      <c r="AS26" s="782"/>
    </row>
    <row r="27" spans="2:48">
      <c r="B27" s="112"/>
      <c r="C27" s="125"/>
      <c r="D27" s="125"/>
      <c r="E27" s="125"/>
      <c r="F27" s="125"/>
      <c r="G27" s="125"/>
      <c r="H27" s="125"/>
      <c r="I27" s="125"/>
      <c r="J27" s="125"/>
      <c r="K27" s="125"/>
      <c r="L27" s="125"/>
      <c r="M27" s="1028"/>
      <c r="N27" s="125"/>
      <c r="O27" s="125"/>
      <c r="P27" s="125"/>
      <c r="Q27" s="125"/>
      <c r="R27" s="125"/>
      <c r="S27" s="125"/>
      <c r="T27" s="113"/>
      <c r="V27" s="512">
        <f>O25-O8-O9</f>
        <v>768.70516784386655</v>
      </c>
    </row>
    <row r="28" spans="2:48">
      <c r="B28" s="112"/>
      <c r="C28" s="125"/>
      <c r="D28" s="125"/>
      <c r="E28" s="125"/>
      <c r="F28" s="125"/>
      <c r="G28" s="125"/>
      <c r="H28" s="125"/>
      <c r="I28" s="125"/>
      <c r="J28" s="125"/>
      <c r="K28" s="125"/>
      <c r="L28" s="125"/>
      <c r="M28" s="125"/>
      <c r="N28" s="125"/>
      <c r="O28" s="125"/>
      <c r="P28" s="125"/>
      <c r="Q28" s="125"/>
      <c r="R28" s="125"/>
      <c r="S28" s="125"/>
      <c r="T28" s="113"/>
      <c r="V28" s="512">
        <f>V27/2</f>
        <v>384.35258392193327</v>
      </c>
      <c r="AS28" s="782"/>
    </row>
    <row r="29" spans="2:48">
      <c r="B29" s="112"/>
      <c r="C29" s="125"/>
      <c r="D29" s="125"/>
      <c r="E29" s="125"/>
      <c r="F29" s="125"/>
      <c r="G29" s="125"/>
      <c r="H29" s="125"/>
      <c r="I29" s="125"/>
      <c r="J29" s="125"/>
      <c r="K29" s="125"/>
      <c r="L29" s="125"/>
      <c r="M29" s="1029"/>
      <c r="N29" s="125"/>
      <c r="O29" s="125"/>
      <c r="P29" s="1030"/>
      <c r="Q29" s="125"/>
      <c r="R29" s="125"/>
      <c r="S29" s="125"/>
      <c r="T29" s="113"/>
      <c r="AS29" s="782"/>
    </row>
    <row r="30" spans="2:48">
      <c r="B30" s="112"/>
      <c r="C30" s="125"/>
      <c r="D30" s="125"/>
      <c r="E30" s="125"/>
      <c r="F30" s="125"/>
      <c r="G30" s="125"/>
      <c r="H30" s="125"/>
      <c r="I30" s="125"/>
      <c r="J30" s="125"/>
      <c r="K30" s="125"/>
      <c r="L30" s="125"/>
      <c r="M30" s="125"/>
      <c r="N30" s="125"/>
      <c r="O30" s="125"/>
      <c r="P30" s="125"/>
      <c r="Q30" s="125"/>
      <c r="R30" s="125"/>
      <c r="S30" s="125"/>
      <c r="T30" s="113"/>
    </row>
    <row r="31" spans="2:48">
      <c r="B31" s="112"/>
      <c r="C31" s="125"/>
      <c r="D31" s="125"/>
      <c r="E31" s="125"/>
      <c r="F31" s="125"/>
      <c r="G31" s="125"/>
      <c r="H31" s="125"/>
      <c r="I31" s="125"/>
      <c r="J31" s="125"/>
      <c r="K31" s="125"/>
      <c r="L31" s="125"/>
      <c r="M31" s="125"/>
      <c r="N31" s="125"/>
      <c r="O31" s="125"/>
      <c r="P31" s="125"/>
      <c r="Q31" s="125"/>
      <c r="R31" s="125"/>
      <c r="S31" s="125"/>
      <c r="T31" s="113"/>
    </row>
    <row r="32" spans="2:48" ht="13.5" thickBot="1">
      <c r="B32" s="114"/>
      <c r="C32" s="115"/>
      <c r="D32" s="115"/>
      <c r="E32" s="115"/>
      <c r="F32" s="115"/>
      <c r="G32" s="115"/>
      <c r="H32" s="115"/>
      <c r="I32" s="115"/>
      <c r="J32" s="115"/>
      <c r="K32" s="115"/>
      <c r="L32" s="115"/>
      <c r="M32" s="115"/>
      <c r="N32" s="115"/>
      <c r="O32" s="115"/>
      <c r="P32" s="115"/>
      <c r="Q32" s="115"/>
      <c r="R32" s="115"/>
      <c r="S32" s="115"/>
      <c r="T32" s="116"/>
    </row>
    <row r="35" spans="1:27">
      <c r="I35" s="108" t="s">
        <v>2014</v>
      </c>
      <c r="J35" s="783" t="s">
        <v>2015</v>
      </c>
    </row>
    <row r="36" spans="1:27" ht="15">
      <c r="G36" s="108" t="s">
        <v>173</v>
      </c>
      <c r="K36" s="108" t="s">
        <v>174</v>
      </c>
      <c r="O36" s="129"/>
      <c r="P36" s="969"/>
      <c r="Q36" s="969"/>
      <c r="R36" s="969"/>
      <c r="S36" s="969"/>
      <c r="U36" s="142" t="s">
        <v>281</v>
      </c>
      <c r="V36" s="130">
        <v>44561</v>
      </c>
      <c r="W36" s="130">
        <v>44651</v>
      </c>
      <c r="X36" s="130">
        <v>44742</v>
      </c>
      <c r="Y36" s="130">
        <v>44834</v>
      </c>
      <c r="Z36" s="130">
        <v>44926</v>
      </c>
    </row>
    <row r="37" spans="1:27" ht="15">
      <c r="B37" s="108" t="s">
        <v>266</v>
      </c>
      <c r="C37" s="108" t="s">
        <v>269</v>
      </c>
      <c r="D37" s="108" t="s">
        <v>270</v>
      </c>
      <c r="E37" s="108" t="s">
        <v>229</v>
      </c>
      <c r="F37" s="108" t="s">
        <v>427</v>
      </c>
      <c r="G37" s="108" t="s">
        <v>283</v>
      </c>
      <c r="I37" s="119">
        <f>Y37/1000</f>
        <v>1242.3698482352036</v>
      </c>
      <c r="J37" s="119">
        <f>Z37/1000</f>
        <v>1446.261722010589</v>
      </c>
      <c r="K37" s="108" t="s">
        <v>175</v>
      </c>
      <c r="L37" s="121">
        <v>4.6640000000000006</v>
      </c>
      <c r="M37" s="121"/>
      <c r="N37" s="121"/>
      <c r="O37" s="784" t="s">
        <v>273</v>
      </c>
      <c r="P37" s="970"/>
      <c r="Q37" s="970"/>
      <c r="R37" s="970"/>
      <c r="S37" s="970"/>
      <c r="U37" s="108" t="s">
        <v>371</v>
      </c>
      <c r="V37" s="785">
        <v>1023788.6934113624</v>
      </c>
      <c r="W37" s="785">
        <v>1166759.4208730708</v>
      </c>
      <c r="X37" s="785">
        <v>1438631.9886295975</v>
      </c>
      <c r="Y37" s="785">
        <v>1242369.8482352037</v>
      </c>
      <c r="Z37" s="786">
        <v>1446261.722010589</v>
      </c>
    </row>
    <row r="38" spans="1:27" ht="15.75">
      <c r="A38" s="108" t="s">
        <v>325</v>
      </c>
      <c r="B38" s="122">
        <f>SUMIF($U$37:$U$47,$A$38,V37:V47)/V48</f>
        <v>0.33909467633467094</v>
      </c>
      <c r="C38" s="122">
        <f>SUMIF($U$37:$U$47,$A$38,W37:W47)/W48</f>
        <v>0.30666803395984638</v>
      </c>
      <c r="D38" s="122">
        <f>SUMIF($U$37:$U$47,$A$38,X37:X47)/X48</f>
        <v>0.30691726881796055</v>
      </c>
      <c r="E38" s="122">
        <f>SUMIF($U$37:$U$47,$A$38,Y37:Y47)/Y48</f>
        <v>0.36908474818978165</v>
      </c>
      <c r="F38" s="122">
        <f>SUMIF($U$37:$U$47,$A$38,Z37:Z47)/Z48</f>
        <v>0.37327887572379881</v>
      </c>
      <c r="G38" s="108" t="s">
        <v>284</v>
      </c>
      <c r="I38" s="119">
        <f t="shared" ref="I38" si="30">Y38/1000</f>
        <v>247.54941397223595</v>
      </c>
      <c r="J38" s="119">
        <f>Z38/1000</f>
        <v>1206.1100269990702</v>
      </c>
      <c r="K38" s="108" t="s">
        <v>177</v>
      </c>
      <c r="L38" s="121">
        <v>3.9050000000000002</v>
      </c>
      <c r="M38" s="121"/>
      <c r="N38" s="121"/>
      <c r="O38" s="784" t="s">
        <v>274</v>
      </c>
      <c r="P38" s="970"/>
      <c r="Q38" s="970"/>
      <c r="R38" s="970"/>
      <c r="S38" s="970"/>
      <c r="U38" s="108" t="s">
        <v>176</v>
      </c>
      <c r="V38" s="785">
        <v>428881.00927843357</v>
      </c>
      <c r="W38" s="785">
        <v>845901.17036307359</v>
      </c>
      <c r="X38" s="785">
        <v>916089.10064604203</v>
      </c>
      <c r="Y38" s="785">
        <v>247549.41397223595</v>
      </c>
      <c r="Z38" s="786">
        <v>1206110.0269990703</v>
      </c>
      <c r="AA38" s="108" t="s">
        <v>176</v>
      </c>
    </row>
    <row r="39" spans="1:27" ht="15.75">
      <c r="A39" s="108" t="s">
        <v>371</v>
      </c>
      <c r="B39" s="122">
        <f>SUMIF($U$37:$U$47,$A$39,V37:V47)/V48</f>
        <v>0.22503006066407419</v>
      </c>
      <c r="C39" s="122">
        <f>SUMIF($U$37:$U$47,$A$39,W37:W47)/W48</f>
        <v>0.26736445137924714</v>
      </c>
      <c r="D39" s="122">
        <f>SUMIF($U$37:$U$47,$A$39,X37:X47)/X48</f>
        <v>0.20242857853859783</v>
      </c>
      <c r="E39" s="122">
        <f>SUMIF($U$37:$U$47,$A$39,Y37:Y47)/Y48</f>
        <v>0.22839050087653881</v>
      </c>
      <c r="F39" s="122">
        <f>SUMIF($U$37:$U$47,$A$39,Z37:Z47)/Z48</f>
        <v>0.23638996088285816</v>
      </c>
      <c r="G39" s="108" t="s">
        <v>285</v>
      </c>
      <c r="I39" s="119">
        <f>Y40/1000</f>
        <v>3307.6761416158915</v>
      </c>
      <c r="J39" s="119">
        <f>Z40/1000</f>
        <v>2642.6274482542558</v>
      </c>
      <c r="K39" s="108" t="s">
        <v>178</v>
      </c>
      <c r="L39" s="121">
        <v>6.16</v>
      </c>
      <c r="M39" s="121"/>
      <c r="N39" s="121"/>
      <c r="O39" s="787" t="s">
        <v>369</v>
      </c>
      <c r="P39" s="971"/>
      <c r="Q39" s="971"/>
      <c r="R39" s="971"/>
      <c r="S39" s="971"/>
      <c r="U39" s="108" t="s">
        <v>176</v>
      </c>
      <c r="V39" s="785">
        <f>AJ53</f>
        <v>2202972</v>
      </c>
      <c r="W39" s="785">
        <f>AJ54</f>
        <v>1825667</v>
      </c>
      <c r="X39" s="785">
        <f>AJ55</f>
        <v>1542384</v>
      </c>
      <c r="Y39" s="785">
        <f>AJ56</f>
        <v>2077549</v>
      </c>
      <c r="Z39" s="786">
        <v>2471775.0640464127</v>
      </c>
      <c r="AA39" s="108" t="s">
        <v>282</v>
      </c>
    </row>
    <row r="40" spans="1:27" ht="15.75">
      <c r="A40" s="108" t="s">
        <v>282</v>
      </c>
      <c r="B40" s="122">
        <f>SUMIF($U$37:$U$47,$A$40,V37:V47)/V48</f>
        <v>7.0355953335921081E-2</v>
      </c>
      <c r="C40" s="122">
        <f>SUMIF($U$37:$U$47,$A$40,W37:W47)/W48</f>
        <v>7.5119034515668315E-2</v>
      </c>
      <c r="D40" s="122">
        <f>SUMIF($U$37:$U$47,$A$40,X37:X47)/X48</f>
        <v>8.5649683028877627E-2</v>
      </c>
      <c r="E40" s="122">
        <f>SUMIF($U$37:$U$47,$A$40,Y37:Y47)/Y48</f>
        <v>7.9303058110581595E-2</v>
      </c>
      <c r="F40" s="122">
        <f>SUMIF($U$37:$U$47,$A$40,Z37:Z47)/Z48</f>
        <v>5.9713535908145161E-2</v>
      </c>
      <c r="G40" s="108" t="s">
        <v>286</v>
      </c>
      <c r="I40" s="119">
        <f t="shared" ref="I40:J46" si="31">Y41/1000</f>
        <v>1444.1749405213384</v>
      </c>
      <c r="J40" s="119">
        <f t="shared" si="31"/>
        <v>1398.4381270550371</v>
      </c>
      <c r="K40" s="108" t="s">
        <v>180</v>
      </c>
      <c r="L40" s="121">
        <v>1.3640000000000001</v>
      </c>
      <c r="M40" s="121"/>
      <c r="N40" s="121"/>
      <c r="O40" s="132" t="s">
        <v>275</v>
      </c>
      <c r="P40" s="972"/>
      <c r="Q40" s="972"/>
      <c r="R40" s="972"/>
      <c r="S40" s="972"/>
      <c r="U40" s="108" t="s">
        <v>176</v>
      </c>
      <c r="V40" s="788">
        <v>2459132.3106495137</v>
      </c>
      <c r="W40" s="788">
        <v>3237235.3545292816</v>
      </c>
      <c r="X40" s="788">
        <v>5844318.5844269404</v>
      </c>
      <c r="Y40" s="788">
        <v>3307676.1416158914</v>
      </c>
      <c r="Z40" s="788">
        <v>2642627.4482542556</v>
      </c>
      <c r="AA40" s="108" t="s">
        <v>179</v>
      </c>
    </row>
    <row r="41" spans="1:27" ht="15.75">
      <c r="A41" s="108" t="s">
        <v>176</v>
      </c>
      <c r="B41" s="122">
        <f>SUMIF($U$37:$U$47,$A$41,V37:V47)/V48</f>
        <v>0.36551930966533375</v>
      </c>
      <c r="C41" s="122">
        <f>SUMIF($U$37:$U$47,$A$41,W37:W47)/W48</f>
        <v>0.35084848014523812</v>
      </c>
      <c r="D41" s="122">
        <f>SUMIF($U$37:$U$47,$A$41,X37:X47)/X48</f>
        <v>0.40500446961456404</v>
      </c>
      <c r="E41" s="122">
        <f>SUMIF($U$37:$U$47,$A$41,Y37:Y47)/Y48</f>
        <v>0.32322169282309809</v>
      </c>
      <c r="F41" s="122">
        <f>SUMIF($U$37:$U$47,$A$41,Z37:Z47)/Z48</f>
        <v>0.33061762748519802</v>
      </c>
      <c r="G41" s="108" t="s">
        <v>287</v>
      </c>
      <c r="I41" s="119">
        <f t="shared" si="31"/>
        <v>1248.5486502218182</v>
      </c>
      <c r="J41" s="119">
        <f t="shared" si="31"/>
        <v>992.05137767356518</v>
      </c>
      <c r="K41" s="108" t="s">
        <v>181</v>
      </c>
      <c r="L41" s="121">
        <v>5.0049999999999999</v>
      </c>
      <c r="M41" s="121"/>
      <c r="N41" s="121"/>
      <c r="O41" s="784" t="s">
        <v>276</v>
      </c>
      <c r="P41" s="970"/>
      <c r="Q41" s="970"/>
      <c r="R41" s="970"/>
      <c r="S41" s="970"/>
      <c r="U41" s="108" t="s">
        <v>371</v>
      </c>
      <c r="V41" s="785">
        <v>1116280.7321315408</v>
      </c>
      <c r="W41" s="785">
        <v>2198688.6423166259</v>
      </c>
      <c r="X41" s="785">
        <v>1458747.96337837</v>
      </c>
      <c r="Y41" s="785">
        <v>1444174.9405213385</v>
      </c>
      <c r="Z41" s="786">
        <v>1398438.1270550371</v>
      </c>
    </row>
    <row r="42" spans="1:27" ht="15">
      <c r="G42" s="108" t="s">
        <v>288</v>
      </c>
      <c r="I42" s="119">
        <f t="shared" si="31"/>
        <v>192.95875613379187</v>
      </c>
      <c r="J42" s="119">
        <f t="shared" si="31"/>
        <v>705.13013775854574</v>
      </c>
      <c r="K42" s="108" t="s">
        <v>182</v>
      </c>
      <c r="L42" s="121">
        <v>7.2050000000000001</v>
      </c>
      <c r="M42" s="121"/>
      <c r="N42" s="121"/>
      <c r="O42" s="132" t="s">
        <v>277</v>
      </c>
      <c r="P42" s="972"/>
      <c r="Q42" s="972"/>
      <c r="R42" s="972"/>
      <c r="S42" s="972"/>
      <c r="U42" s="108" t="s">
        <v>282</v>
      </c>
      <c r="V42" s="788">
        <v>732665.99807794916</v>
      </c>
      <c r="W42" s="788">
        <v>1065124.7909119111</v>
      </c>
      <c r="X42" s="788">
        <v>1627832.3621257646</v>
      </c>
      <c r="Y42" s="788">
        <v>1248548.6502218181</v>
      </c>
      <c r="Z42" s="789">
        <v>992051.37767356518</v>
      </c>
    </row>
    <row r="43" spans="1:27" ht="15">
      <c r="G43" s="108" t="s">
        <v>289</v>
      </c>
      <c r="I43" s="119">
        <f t="shared" si="31"/>
        <v>789.34529187628834</v>
      </c>
      <c r="J43" s="119">
        <f t="shared" si="31"/>
        <v>583.63065076625992</v>
      </c>
      <c r="K43" s="108" t="s">
        <v>183</v>
      </c>
      <c r="L43" s="121">
        <v>3.5859999999999999</v>
      </c>
      <c r="M43" s="121"/>
      <c r="N43" s="121"/>
      <c r="O43" s="784" t="s">
        <v>271</v>
      </c>
      <c r="P43" s="970"/>
      <c r="Q43" s="970"/>
      <c r="R43" s="970"/>
      <c r="S43" s="970"/>
      <c r="U43" s="108" t="s">
        <v>371</v>
      </c>
      <c r="V43" s="785">
        <v>107631.21400000001</v>
      </c>
      <c r="W43" s="785">
        <v>112694.70681057809</v>
      </c>
      <c r="X43" s="785">
        <v>201733.53756083292</v>
      </c>
      <c r="Y43" s="785">
        <v>192958.75613379187</v>
      </c>
      <c r="Z43" s="786">
        <v>705130.13775854569</v>
      </c>
    </row>
    <row r="44" spans="1:27" ht="15">
      <c r="G44" s="108" t="s">
        <v>290</v>
      </c>
      <c r="I44" s="119">
        <f t="shared" si="31"/>
        <v>133.46331810881995</v>
      </c>
      <c r="J44" s="119">
        <f t="shared" si="31"/>
        <v>149.50951048644109</v>
      </c>
      <c r="K44" s="108" t="s">
        <v>184</v>
      </c>
      <c r="L44" s="121">
        <v>4.1580000000000004</v>
      </c>
      <c r="M44" s="121"/>
      <c r="N44" s="121"/>
      <c r="O44" s="784" t="s">
        <v>272</v>
      </c>
      <c r="P44" s="970"/>
      <c r="Q44" s="970"/>
      <c r="R44" s="970"/>
      <c r="S44" s="970"/>
      <c r="U44" s="108" t="s">
        <v>371</v>
      </c>
      <c r="V44" s="785">
        <v>689245.2118119942</v>
      </c>
      <c r="W44" s="785">
        <v>705342.951446775</v>
      </c>
      <c r="X44" s="785">
        <v>744714.51642885385</v>
      </c>
      <c r="Y44" s="785">
        <v>789345.29187628836</v>
      </c>
      <c r="Z44" s="786">
        <v>583630.65076625987</v>
      </c>
    </row>
    <row r="45" spans="1:27" ht="15">
      <c r="G45" s="108" t="s">
        <v>291</v>
      </c>
      <c r="I45" s="119">
        <f t="shared" si="31"/>
        <v>6432.0286188120772</v>
      </c>
      <c r="J45" s="119">
        <f t="shared" si="31"/>
        <v>7136.0799259670666</v>
      </c>
      <c r="K45" s="108" t="s">
        <v>185</v>
      </c>
      <c r="L45" s="121">
        <v>4.7630000000000008</v>
      </c>
      <c r="M45" s="121"/>
      <c r="N45" s="121"/>
      <c r="O45" s="784" t="s">
        <v>278</v>
      </c>
      <c r="P45" s="970"/>
      <c r="Q45" s="970"/>
      <c r="R45" s="970"/>
      <c r="S45" s="970"/>
      <c r="U45" s="108" t="s">
        <v>282</v>
      </c>
      <c r="V45" s="785">
        <v>247257.95157783615</v>
      </c>
      <c r="W45" s="785">
        <v>199990.04084950502</v>
      </c>
      <c r="X45" s="785">
        <v>128028.44789955097</v>
      </c>
      <c r="Y45" s="785">
        <v>133463.31810881995</v>
      </c>
      <c r="Z45" s="786">
        <v>149509.51048644108</v>
      </c>
    </row>
    <row r="46" spans="1:27" ht="15">
      <c r="G46" s="108" t="s">
        <v>292</v>
      </c>
      <c r="I46" s="119">
        <f t="shared" si="31"/>
        <v>311.30543703545402</v>
      </c>
      <c r="J46" s="119">
        <f t="shared" si="31"/>
        <v>385.67442271899432</v>
      </c>
      <c r="K46" s="108" t="s">
        <v>186</v>
      </c>
      <c r="L46" s="121">
        <v>3.9050000000000002</v>
      </c>
      <c r="M46" s="121"/>
      <c r="N46" s="121"/>
      <c r="O46" s="132" t="s">
        <v>279</v>
      </c>
      <c r="P46" s="972"/>
      <c r="Q46" s="972"/>
      <c r="R46" s="972"/>
      <c r="S46" s="972"/>
      <c r="U46" s="108" t="s">
        <v>325</v>
      </c>
      <c r="V46" s="788">
        <v>4722940.6864062455</v>
      </c>
      <c r="W46" s="788">
        <v>5164739.9449575264</v>
      </c>
      <c r="X46" s="788">
        <v>6291955.617112617</v>
      </c>
      <c r="Y46" s="788">
        <v>6432028.6188120767</v>
      </c>
      <c r="Z46" s="788">
        <v>7136079.9259670665</v>
      </c>
    </row>
    <row r="47" spans="1:27" ht="15">
      <c r="J47" s="119"/>
      <c r="K47" s="108" t="s">
        <v>187</v>
      </c>
      <c r="L47" s="121">
        <v>6.16</v>
      </c>
      <c r="M47" s="121"/>
      <c r="N47" s="121"/>
      <c r="O47" s="784" t="s">
        <v>280</v>
      </c>
      <c r="P47" s="970"/>
      <c r="Q47" s="970"/>
      <c r="R47" s="970"/>
      <c r="S47" s="970"/>
      <c r="U47" s="108" t="s">
        <v>371</v>
      </c>
      <c r="V47" s="785">
        <v>197292.76501866977</v>
      </c>
      <c r="W47" s="785">
        <v>319324.18694025907</v>
      </c>
      <c r="X47" s="785">
        <v>306057.84664720285</v>
      </c>
      <c r="Y47" s="785">
        <v>311305.43703545403</v>
      </c>
      <c r="Z47" s="786">
        <v>385674.42271899432</v>
      </c>
    </row>
    <row r="48" spans="1:27" ht="15">
      <c r="K48" s="108" t="s">
        <v>188</v>
      </c>
      <c r="L48" s="121">
        <v>1.3640000000000001</v>
      </c>
      <c r="M48" s="121"/>
      <c r="N48" s="121"/>
      <c r="O48" s="129"/>
      <c r="P48" s="969"/>
      <c r="Q48" s="969"/>
      <c r="R48" s="969"/>
      <c r="S48" s="969"/>
      <c r="U48" s="790"/>
      <c r="V48" s="791">
        <f>SUM(V37:V47)</f>
        <v>13928088.572363546</v>
      </c>
      <c r="W48" s="791">
        <f>SUM(W37:W47)</f>
        <v>16841468.209998608</v>
      </c>
      <c r="X48" s="791">
        <f>SUM(X37:X47)</f>
        <v>20500493.964855772</v>
      </c>
      <c r="Y48" s="791">
        <f>SUM(Y37:Y47)</f>
        <v>17426969.416532915</v>
      </c>
      <c r="Z48" s="791">
        <f>SUM(Z37:Z47)</f>
        <v>19117288.413736235</v>
      </c>
      <c r="AA48" s="508">
        <f>+Z48-V48</f>
        <v>5189199.8413726892</v>
      </c>
    </row>
    <row r="49" spans="11:36">
      <c r="K49" s="108" t="s">
        <v>189</v>
      </c>
      <c r="L49" s="121">
        <v>5.0049999999999999</v>
      </c>
      <c r="M49" s="121"/>
      <c r="N49" s="121"/>
    </row>
    <row r="50" spans="11:36">
      <c r="K50" s="108" t="s">
        <v>190</v>
      </c>
      <c r="L50" s="121">
        <v>7.2050000000000001</v>
      </c>
      <c r="M50" s="121"/>
      <c r="N50" s="121"/>
      <c r="O50" s="121"/>
      <c r="P50" s="121"/>
      <c r="Q50" s="121"/>
      <c r="R50" s="121"/>
      <c r="S50" s="121"/>
    </row>
    <row r="51" spans="11:36" ht="13.5" thickBot="1">
      <c r="K51" s="108" t="s">
        <v>191</v>
      </c>
      <c r="L51" s="121">
        <v>4.8840000000000012</v>
      </c>
      <c r="M51" s="121"/>
      <c r="N51" s="121"/>
      <c r="O51" s="121"/>
      <c r="P51" s="121"/>
      <c r="Q51" s="121"/>
      <c r="R51" s="121"/>
      <c r="S51" s="121"/>
      <c r="T51" s="108" t="s">
        <v>144</v>
      </c>
      <c r="U51" s="108" t="s">
        <v>2016</v>
      </c>
      <c r="W51" s="108" t="s">
        <v>324</v>
      </c>
      <c r="X51" s="108" t="s">
        <v>324</v>
      </c>
      <c r="Z51" s="108" t="s">
        <v>323</v>
      </c>
      <c r="AA51" s="108" t="s">
        <v>323</v>
      </c>
      <c r="AC51" s="108" t="s">
        <v>141</v>
      </c>
      <c r="AD51" s="108" t="s">
        <v>141</v>
      </c>
      <c r="AF51" s="792" t="s">
        <v>2017</v>
      </c>
      <c r="AG51" s="108" t="s">
        <v>2015</v>
      </c>
      <c r="AJ51" s="117" t="s">
        <v>368</v>
      </c>
    </row>
    <row r="52" spans="11:36" ht="16.5" thickBot="1">
      <c r="K52" s="108" t="s">
        <v>192</v>
      </c>
      <c r="L52" s="121">
        <v>6.9520000000000008</v>
      </c>
      <c r="M52" s="121"/>
      <c r="N52" s="121"/>
      <c r="O52" s="121"/>
      <c r="P52" s="121"/>
      <c r="Q52" s="121"/>
      <c r="R52" s="121"/>
      <c r="S52" s="121"/>
      <c r="T52" s="146" t="s">
        <v>297</v>
      </c>
      <c r="U52" s="147">
        <v>257637.79872408041</v>
      </c>
      <c r="W52" s="146" t="s">
        <v>297</v>
      </c>
      <c r="X52" s="148">
        <v>272078.75409177871</v>
      </c>
      <c r="Z52" s="146" t="s">
        <v>297</v>
      </c>
      <c r="AA52" s="148">
        <v>224633.88564774077</v>
      </c>
      <c r="AC52" s="146" t="s">
        <v>297</v>
      </c>
      <c r="AD52" s="148">
        <v>18573.929426818191</v>
      </c>
      <c r="AE52" s="793"/>
      <c r="AF52" s="148" t="s">
        <v>297</v>
      </c>
      <c r="AG52" s="148">
        <v>255753.84199999998</v>
      </c>
      <c r="AI52" s="170" t="s">
        <v>366</v>
      </c>
      <c r="AJ52" s="171" t="s">
        <v>367</v>
      </c>
    </row>
    <row r="53" spans="11:36" ht="16.5" thickBot="1">
      <c r="K53" s="108" t="s">
        <v>193</v>
      </c>
      <c r="L53" s="121">
        <v>3.9160000000000004</v>
      </c>
      <c r="M53" s="121"/>
      <c r="N53" s="121"/>
      <c r="O53" s="121"/>
      <c r="P53" s="121"/>
      <c r="Q53" s="121"/>
      <c r="R53" s="121"/>
      <c r="S53" s="121"/>
      <c r="T53" s="144" t="s">
        <v>293</v>
      </c>
      <c r="U53" s="145">
        <v>1967865.66096577</v>
      </c>
      <c r="W53" s="146" t="s">
        <v>297</v>
      </c>
      <c r="X53" s="148">
        <v>194592.84695092891</v>
      </c>
      <c r="Z53" s="146" t="s">
        <v>297</v>
      </c>
      <c r="AA53" s="148">
        <v>13883.637712689413</v>
      </c>
      <c r="AC53" s="146" t="s">
        <v>297</v>
      </c>
      <c r="AD53" s="148">
        <v>271740.93114774383</v>
      </c>
      <c r="AE53" s="793"/>
      <c r="AF53" s="148" t="s">
        <v>297</v>
      </c>
      <c r="AG53" s="148">
        <v>15700.135999999999</v>
      </c>
      <c r="AI53" s="172">
        <v>44561</v>
      </c>
      <c r="AJ53" s="173">
        <v>2202972</v>
      </c>
    </row>
    <row r="54" spans="11:36" ht="16.5" thickBot="1">
      <c r="K54" s="108" t="s">
        <v>194</v>
      </c>
      <c r="L54" s="121">
        <v>2.0790000000000002</v>
      </c>
      <c r="M54" s="121"/>
      <c r="N54" s="121"/>
      <c r="O54" s="121"/>
      <c r="P54" s="121"/>
      <c r="Q54" s="121"/>
      <c r="R54" s="121"/>
      <c r="S54" s="121"/>
      <c r="T54" s="137" t="s">
        <v>333</v>
      </c>
      <c r="U54" s="143">
        <v>10911.053717818806</v>
      </c>
      <c r="W54" s="141" t="s">
        <v>314</v>
      </c>
      <c r="X54" s="139">
        <v>13199.676532569742</v>
      </c>
      <c r="Z54" s="144" t="s">
        <v>293</v>
      </c>
      <c r="AA54" s="149">
        <v>3045826.7891793177</v>
      </c>
      <c r="AC54" s="108" t="s">
        <v>340</v>
      </c>
      <c r="AD54" s="127">
        <v>3566.6431883913015</v>
      </c>
      <c r="AE54" s="127"/>
      <c r="AF54" s="794" t="s">
        <v>340</v>
      </c>
      <c r="AG54" s="794">
        <v>5614.9159092274467</v>
      </c>
      <c r="AI54" s="172">
        <v>44651</v>
      </c>
      <c r="AJ54" s="173">
        <v>1825667</v>
      </c>
    </row>
    <row r="55" spans="11:36" ht="16.5" thickBot="1">
      <c r="K55" s="108" t="s">
        <v>195</v>
      </c>
      <c r="L55" s="121">
        <v>2.2000000000000002</v>
      </c>
      <c r="M55" s="121"/>
      <c r="N55" s="121"/>
      <c r="O55" s="121"/>
      <c r="P55" s="121"/>
      <c r="Q55" s="121"/>
      <c r="R55" s="121"/>
      <c r="S55" s="121"/>
      <c r="T55" s="137" t="s">
        <v>322</v>
      </c>
      <c r="U55" s="143">
        <v>2549.4700420124332</v>
      </c>
      <c r="W55" s="137" t="s">
        <v>319</v>
      </c>
      <c r="X55" s="139">
        <v>1641.1947032650551</v>
      </c>
      <c r="Z55" s="108" t="s">
        <v>304</v>
      </c>
      <c r="AA55" s="127">
        <v>63418.695132179862</v>
      </c>
      <c r="AC55" s="108" t="s">
        <v>319</v>
      </c>
      <c r="AD55" s="127">
        <v>3073.5743178355979</v>
      </c>
      <c r="AE55" s="127"/>
      <c r="AF55" s="794" t="s">
        <v>319</v>
      </c>
      <c r="AG55" s="794">
        <f>167.558+3009.53148606502</f>
        <v>3177.0894860650201</v>
      </c>
      <c r="AH55" s="108">
        <v>167.55866671891519</v>
      </c>
      <c r="AI55" s="172">
        <v>44742</v>
      </c>
      <c r="AJ55" s="173">
        <v>1542384</v>
      </c>
    </row>
    <row r="56" spans="11:36" ht="16.5" thickBot="1">
      <c r="K56" s="108" t="s">
        <v>196</v>
      </c>
      <c r="L56" s="121">
        <v>5.7310000000000008</v>
      </c>
      <c r="M56" s="121"/>
      <c r="N56" s="121"/>
      <c r="O56" s="121"/>
      <c r="P56" s="121"/>
      <c r="Q56" s="121"/>
      <c r="R56" s="121"/>
      <c r="S56" s="121"/>
      <c r="T56" s="137" t="s">
        <v>300</v>
      </c>
      <c r="U56" s="143">
        <v>782812.51055361866</v>
      </c>
      <c r="W56" s="144" t="s">
        <v>293</v>
      </c>
      <c r="X56" s="149">
        <v>2396711.5173982708</v>
      </c>
      <c r="Z56" s="108" t="s">
        <v>322</v>
      </c>
      <c r="AA56" s="127">
        <v>9413.1127372050705</v>
      </c>
      <c r="AC56" s="144" t="s">
        <v>293</v>
      </c>
      <c r="AD56" s="149">
        <v>3494588.2595235598</v>
      </c>
      <c r="AE56" s="795"/>
      <c r="AF56" s="149" t="s">
        <v>293</v>
      </c>
      <c r="AG56" s="149">
        <v>3970069.4815591737</v>
      </c>
      <c r="AI56" s="172">
        <v>44834</v>
      </c>
      <c r="AJ56" s="173">
        <v>2077549</v>
      </c>
    </row>
    <row r="57" spans="11:36" ht="16.5" thickBot="1">
      <c r="O57" s="121"/>
      <c r="P57" s="121"/>
      <c r="Q57" s="121"/>
      <c r="R57" s="121"/>
      <c r="S57" s="121"/>
      <c r="T57" s="137" t="s">
        <v>306</v>
      </c>
      <c r="U57" s="143">
        <v>67900.075017724594</v>
      </c>
      <c r="W57" s="137" t="s">
        <v>320</v>
      </c>
      <c r="X57" s="139">
        <v>53267.081639578115</v>
      </c>
      <c r="Z57" s="108" t="s">
        <v>300</v>
      </c>
      <c r="AA57" s="127">
        <v>131365</v>
      </c>
      <c r="AC57" s="108" t="s">
        <v>337</v>
      </c>
      <c r="AD57" s="127">
        <v>6899.85</v>
      </c>
      <c r="AE57" s="127"/>
      <c r="AF57" s="794" t="s">
        <v>337</v>
      </c>
      <c r="AG57" s="794"/>
      <c r="AI57" s="172">
        <v>44926</v>
      </c>
      <c r="AJ57" s="173">
        <f>+Z39</f>
        <v>2471775.0640464127</v>
      </c>
    </row>
    <row r="58" spans="11:36" ht="15.75">
      <c r="O58" s="121"/>
      <c r="P58" s="121"/>
      <c r="Q58" s="121"/>
      <c r="R58" s="121"/>
      <c r="S58" s="121"/>
      <c r="T58" s="137" t="s">
        <v>306</v>
      </c>
      <c r="U58" s="143">
        <v>6740.1305358074869</v>
      </c>
      <c r="W58" s="137" t="s">
        <v>322</v>
      </c>
      <c r="X58" s="139">
        <v>5421.9901024216433</v>
      </c>
      <c r="Z58" s="108" t="s">
        <v>306</v>
      </c>
      <c r="AA58" s="127">
        <v>25665.959979308336</v>
      </c>
      <c r="AC58" s="108" t="s">
        <v>304</v>
      </c>
      <c r="AD58" s="127">
        <v>33639.51293168027</v>
      </c>
      <c r="AE58" s="127"/>
      <c r="AF58" s="794" t="s">
        <v>304</v>
      </c>
      <c r="AG58" s="794"/>
    </row>
    <row r="59" spans="11:36" ht="15.75">
      <c r="T59" s="137" t="s">
        <v>306</v>
      </c>
      <c r="U59" s="143">
        <v>127199.74347175889</v>
      </c>
      <c r="W59" s="137" t="s">
        <v>300</v>
      </c>
      <c r="X59" s="139">
        <v>476908.15399978979</v>
      </c>
      <c r="Z59" s="108" t="s">
        <v>298</v>
      </c>
      <c r="AA59" s="127">
        <v>30760.746049552148</v>
      </c>
      <c r="AC59" s="108" t="s">
        <v>322</v>
      </c>
      <c r="AD59" s="127">
        <v>8690.1595936082776</v>
      </c>
      <c r="AE59" s="127"/>
      <c r="AF59" s="794" t="s">
        <v>322</v>
      </c>
      <c r="AG59" s="794">
        <v>8866.0600972927168</v>
      </c>
    </row>
    <row r="60" spans="11:36" ht="15.75">
      <c r="T60" s="137" t="s">
        <v>298</v>
      </c>
      <c r="U60" s="143">
        <v>7158.0186290275515</v>
      </c>
      <c r="W60" s="137" t="s">
        <v>315</v>
      </c>
      <c r="X60" s="139">
        <v>20559.861055695197</v>
      </c>
      <c r="Z60" s="108" t="s">
        <v>298</v>
      </c>
      <c r="AA60" s="127">
        <v>208346.14555099513</v>
      </c>
      <c r="AC60" s="108" t="s">
        <v>342</v>
      </c>
      <c r="AD60" s="127">
        <v>20093.871505552786</v>
      </c>
      <c r="AE60" s="127"/>
      <c r="AF60" s="794" t="s">
        <v>342</v>
      </c>
      <c r="AG60" s="794">
        <v>15518.041215297997</v>
      </c>
    </row>
    <row r="61" spans="11:36" ht="15.75">
      <c r="T61" s="137" t="s">
        <v>332</v>
      </c>
      <c r="U61" s="143">
        <v>8794.1268760191451</v>
      </c>
      <c r="W61" s="140" t="s">
        <v>306</v>
      </c>
      <c r="X61" s="139">
        <v>48886.556208210131</v>
      </c>
      <c r="Z61" s="108" t="s">
        <v>298</v>
      </c>
      <c r="AA61" s="127">
        <v>76289.770684345771</v>
      </c>
      <c r="AC61" s="108" t="s">
        <v>346</v>
      </c>
      <c r="AD61" s="127">
        <v>293028.03983983444</v>
      </c>
      <c r="AE61" s="127"/>
      <c r="AF61" s="794" t="s">
        <v>346</v>
      </c>
      <c r="AG61" s="794">
        <v>480140.91480414139</v>
      </c>
    </row>
    <row r="62" spans="11:36" ht="15.75">
      <c r="T62" s="137" t="s">
        <v>331</v>
      </c>
      <c r="U62" s="143">
        <v>86521.827501304826</v>
      </c>
      <c r="W62" s="137" t="s">
        <v>306</v>
      </c>
      <c r="X62" s="139">
        <v>19414.101379630025</v>
      </c>
      <c r="Z62" s="108" t="s">
        <v>311</v>
      </c>
      <c r="AA62" s="127">
        <v>3163.9582872944975</v>
      </c>
      <c r="AC62" s="108" t="s">
        <v>345</v>
      </c>
      <c r="AD62" s="127">
        <v>84633.986272626091</v>
      </c>
      <c r="AE62" s="127"/>
      <c r="AF62" s="794" t="s">
        <v>345</v>
      </c>
      <c r="AG62" s="794">
        <v>134189.76794101414</v>
      </c>
    </row>
    <row r="63" spans="11:36" ht="15.75">
      <c r="T63" s="137" t="s">
        <v>302</v>
      </c>
      <c r="U63" s="143">
        <v>51921.044286459895</v>
      </c>
      <c r="W63" s="140" t="s">
        <v>313</v>
      </c>
      <c r="X63" s="139">
        <v>60669.06681134383</v>
      </c>
      <c r="Z63" s="108" t="s">
        <v>303</v>
      </c>
      <c r="AA63" s="127">
        <v>100860.08849189339</v>
      </c>
      <c r="AC63" s="108" t="s">
        <v>306</v>
      </c>
      <c r="AD63" s="127">
        <v>158569.93393370995</v>
      </c>
      <c r="AE63" s="127"/>
      <c r="AF63" s="794" t="s">
        <v>306</v>
      </c>
      <c r="AG63" s="794">
        <v>38923.832134902324</v>
      </c>
    </row>
    <row r="64" spans="11:36" ht="15.75">
      <c r="T64" s="137" t="s">
        <v>302</v>
      </c>
      <c r="U64" s="143">
        <v>7411.7290718921504</v>
      </c>
      <c r="W64" s="141" t="s">
        <v>298</v>
      </c>
      <c r="X64" s="139">
        <v>47506.306075954672</v>
      </c>
      <c r="Z64" s="108" t="s">
        <v>302</v>
      </c>
      <c r="AA64" s="127">
        <v>110768.89045859406</v>
      </c>
      <c r="AC64" s="108" t="s">
        <v>306</v>
      </c>
      <c r="AD64" s="127">
        <v>44650.816763762894</v>
      </c>
      <c r="AE64" s="127"/>
      <c r="AF64" s="794" t="s">
        <v>306</v>
      </c>
      <c r="AG64" s="794">
        <v>20929.846476431663</v>
      </c>
    </row>
    <row r="65" spans="20:33" ht="15.75">
      <c r="T65" s="137" t="s">
        <v>329</v>
      </c>
      <c r="U65" s="143">
        <v>7846.5678177912514</v>
      </c>
      <c r="W65" s="137" t="s">
        <v>303</v>
      </c>
      <c r="X65" s="139">
        <v>68125.850823913628</v>
      </c>
      <c r="Z65" s="108" t="s">
        <v>308</v>
      </c>
      <c r="AA65" s="127">
        <v>19714.05822592193</v>
      </c>
      <c r="AC65" s="108" t="s">
        <v>338</v>
      </c>
      <c r="AD65" s="127">
        <v>35464.324116028693</v>
      </c>
      <c r="AE65" s="127"/>
      <c r="AF65" s="794" t="s">
        <v>338</v>
      </c>
      <c r="AG65" s="794">
        <v>26776.313395640023</v>
      </c>
    </row>
    <row r="66" spans="20:33" ht="15.75">
      <c r="T66" s="137" t="s">
        <v>316</v>
      </c>
      <c r="U66" s="143">
        <v>173920.15668163274</v>
      </c>
      <c r="W66" s="141" t="s">
        <v>303</v>
      </c>
      <c r="X66" s="139">
        <v>19572.556941710387</v>
      </c>
      <c r="Z66" s="108" t="s">
        <v>301</v>
      </c>
      <c r="AA66" s="127">
        <v>144809.05866442551</v>
      </c>
      <c r="AC66" s="108" t="s">
        <v>338</v>
      </c>
      <c r="AD66" s="127">
        <v>8414.9605333246927</v>
      </c>
      <c r="AE66" s="127"/>
      <c r="AF66" s="794" t="s">
        <v>338</v>
      </c>
      <c r="AG66" s="794">
        <v>0</v>
      </c>
    </row>
    <row r="67" spans="20:33" ht="15.75">
      <c r="T67" s="137" t="s">
        <v>296</v>
      </c>
      <c r="U67" s="143">
        <v>163271.16837153101</v>
      </c>
      <c r="W67" s="137" t="s">
        <v>302</v>
      </c>
      <c r="X67" s="139">
        <v>99781.572060462408</v>
      </c>
      <c r="Z67" s="108" t="s">
        <v>296</v>
      </c>
      <c r="AA67" s="127">
        <v>247776.75068521965</v>
      </c>
      <c r="AC67" s="108" t="s">
        <v>311</v>
      </c>
      <c r="AD67" s="127">
        <v>9972.0157439070463</v>
      </c>
      <c r="AE67" s="127"/>
      <c r="AF67" s="794" t="s">
        <v>311</v>
      </c>
      <c r="AG67" s="794">
        <v>4062.5976775203249</v>
      </c>
    </row>
    <row r="68" spans="20:33" ht="15.75">
      <c r="T68" s="137" t="s">
        <v>330</v>
      </c>
      <c r="U68" s="143">
        <v>21140.456875326203</v>
      </c>
      <c r="W68" s="141" t="s">
        <v>316</v>
      </c>
      <c r="X68" s="139">
        <v>213531.79877352618</v>
      </c>
      <c r="Z68" s="108" t="s">
        <v>299</v>
      </c>
      <c r="AA68" s="127">
        <v>197494.75750330844</v>
      </c>
      <c r="AC68" s="108" t="s">
        <v>303</v>
      </c>
      <c r="AD68" s="127">
        <v>125767.7073664202</v>
      </c>
      <c r="AE68" s="127"/>
      <c r="AF68" s="794" t="s">
        <v>303</v>
      </c>
      <c r="AG68" s="794">
        <v>136381.2513497188</v>
      </c>
    </row>
    <row r="69" spans="20:33" ht="15.75">
      <c r="T69" s="144" t="s">
        <v>294</v>
      </c>
      <c r="U69" s="145">
        <v>894642.86920413573</v>
      </c>
      <c r="W69" s="137" t="s">
        <v>296</v>
      </c>
      <c r="X69" s="139">
        <v>94600.843459471696</v>
      </c>
      <c r="Z69" s="108" t="s">
        <v>299</v>
      </c>
      <c r="AA69" s="127">
        <v>27068.08420689209</v>
      </c>
      <c r="AC69" s="108" t="s">
        <v>302</v>
      </c>
      <c r="AD69" s="127">
        <v>125005.60694670459</v>
      </c>
      <c r="AE69" s="127"/>
      <c r="AF69" s="794" t="s">
        <v>302</v>
      </c>
      <c r="AG69" s="794">
        <v>79731.299785890355</v>
      </c>
    </row>
    <row r="70" spans="20:33" ht="15.75">
      <c r="T70" s="137" t="s">
        <v>334</v>
      </c>
      <c r="U70" s="143">
        <v>771.44999999999993</v>
      </c>
      <c r="W70" s="144" t="s">
        <v>294</v>
      </c>
      <c r="X70" s="149">
        <v>927933.58943999978</v>
      </c>
      <c r="Z70" s="108" t="s">
        <v>295</v>
      </c>
      <c r="AA70" s="127">
        <v>400788.10015671555</v>
      </c>
      <c r="AC70" s="108" t="s">
        <v>302</v>
      </c>
      <c r="AD70" s="127">
        <v>95753.288024190013</v>
      </c>
      <c r="AE70" s="127"/>
      <c r="AF70" s="794" t="s">
        <v>302</v>
      </c>
      <c r="AG70" s="794">
        <v>109408.30159298849</v>
      </c>
    </row>
    <row r="71" spans="20:33" ht="15.75">
      <c r="T71" s="137" t="s">
        <v>327</v>
      </c>
      <c r="U71" s="143">
        <v>20890.2</v>
      </c>
      <c r="W71" s="141" t="s">
        <v>321</v>
      </c>
      <c r="X71" s="139">
        <v>5676.9193834250264</v>
      </c>
      <c r="Z71" s="144" t="s">
        <v>294</v>
      </c>
      <c r="AA71" s="149">
        <v>1153497.8787984001</v>
      </c>
      <c r="AC71" s="108" t="s">
        <v>316</v>
      </c>
      <c r="AD71" s="127">
        <v>9079.736433293654</v>
      </c>
      <c r="AE71" s="127"/>
      <c r="AF71" s="794" t="s">
        <v>316</v>
      </c>
      <c r="AG71" s="794">
        <v>34309.26870689229</v>
      </c>
    </row>
    <row r="72" spans="20:33" ht="15.75">
      <c r="T72" s="137" t="s">
        <v>328</v>
      </c>
      <c r="U72" s="143">
        <v>4531.6753400780335</v>
      </c>
      <c r="W72" s="137" t="s">
        <v>317</v>
      </c>
      <c r="X72" s="139">
        <v>37998.589932972885</v>
      </c>
      <c r="Z72" s="108" t="s">
        <v>310</v>
      </c>
      <c r="AA72" s="127">
        <v>4188.592574162758</v>
      </c>
      <c r="AC72" s="108" t="s">
        <v>347</v>
      </c>
      <c r="AD72" s="127">
        <v>3623.9948570079073</v>
      </c>
      <c r="AE72" s="127"/>
      <c r="AF72" s="794" t="s">
        <v>347</v>
      </c>
      <c r="AG72" s="794">
        <v>229981.78796104051</v>
      </c>
    </row>
    <row r="73" spans="20:33" ht="15.75">
      <c r="T73" s="137" t="s">
        <v>310</v>
      </c>
      <c r="U73" s="143">
        <v>1248.75</v>
      </c>
      <c r="W73" s="137" t="s">
        <v>307</v>
      </c>
      <c r="X73" s="139">
        <v>38909.137119667786</v>
      </c>
      <c r="Z73" s="108" t="s">
        <v>307</v>
      </c>
      <c r="AA73" s="127">
        <v>8122.4269472727328</v>
      </c>
      <c r="AC73" s="108" t="s">
        <v>296</v>
      </c>
      <c r="AD73" s="127">
        <v>75042.367618069737</v>
      </c>
      <c r="AE73" s="127"/>
      <c r="AF73" s="794" t="s">
        <v>296</v>
      </c>
      <c r="AG73" s="794">
        <v>0</v>
      </c>
    </row>
    <row r="74" spans="20:33" ht="15.75">
      <c r="T74" s="137" t="s">
        <v>307</v>
      </c>
      <c r="U74" s="143">
        <v>21192.943181298946</v>
      </c>
      <c r="W74" s="137" t="s">
        <v>305</v>
      </c>
      <c r="X74" s="139">
        <v>45420.228035514359</v>
      </c>
      <c r="Z74" s="108" t="s">
        <v>305</v>
      </c>
      <c r="AA74" s="127">
        <v>32724.598272604631</v>
      </c>
      <c r="AC74" s="108" t="s">
        <v>341</v>
      </c>
      <c r="AD74" s="127">
        <v>31501.135347234158</v>
      </c>
      <c r="AE74" s="127"/>
      <c r="AF74" s="794" t="s">
        <v>341</v>
      </c>
      <c r="AG74" s="794">
        <v>27083.984516802167</v>
      </c>
    </row>
    <row r="75" spans="20:33" ht="15.75">
      <c r="T75" s="137" t="s">
        <v>305</v>
      </c>
      <c r="U75" s="143">
        <v>22693.613523569926</v>
      </c>
      <c r="W75" s="141" t="s">
        <v>318</v>
      </c>
      <c r="X75" s="139">
        <v>2331.7520374257615</v>
      </c>
      <c r="Z75" s="108" t="s">
        <v>312</v>
      </c>
      <c r="AA75" s="127">
        <v>572.99856894870948</v>
      </c>
      <c r="AC75" s="108" t="s">
        <v>341</v>
      </c>
      <c r="AD75" s="127">
        <v>118378.88919072882</v>
      </c>
      <c r="AE75" s="127"/>
      <c r="AF75" s="794" t="s">
        <v>341</v>
      </c>
      <c r="AG75" s="794"/>
    </row>
    <row r="76" spans="20:33" ht="15.75">
      <c r="T76" s="137" t="s">
        <v>312</v>
      </c>
      <c r="U76" s="143">
        <v>3604.7000000000003</v>
      </c>
      <c r="Z76" s="108" t="s">
        <v>309</v>
      </c>
      <c r="AA76" s="127">
        <v>10801.632597628863</v>
      </c>
      <c r="AC76" s="144" t="s">
        <v>294</v>
      </c>
      <c r="AD76" s="149">
        <v>1292845.8107877334</v>
      </c>
      <c r="AE76" s="795"/>
      <c r="AF76" s="149" t="s">
        <v>294</v>
      </c>
      <c r="AG76" s="149">
        <v>1441992.0187852536</v>
      </c>
    </row>
    <row r="77" spans="20:33" ht="15.75">
      <c r="T77" s="138" t="s">
        <v>326</v>
      </c>
      <c r="U77" s="143">
        <v>1762.9460175864667</v>
      </c>
      <c r="AC77" s="108" t="s">
        <v>335</v>
      </c>
      <c r="AD77" s="127">
        <v>4407.2202485037888</v>
      </c>
      <c r="AE77" s="127"/>
      <c r="AF77" s="794" t="s">
        <v>335</v>
      </c>
      <c r="AG77" s="794">
        <v>6375.2083194482493</v>
      </c>
    </row>
    <row r="78" spans="20:33">
      <c r="AC78" s="108" t="s">
        <v>343</v>
      </c>
      <c r="AD78" s="127">
        <v>1186.22</v>
      </c>
      <c r="AE78" s="127"/>
      <c r="AF78" s="794" t="s">
        <v>343</v>
      </c>
      <c r="AG78" s="794">
        <v>11862.043012043352</v>
      </c>
    </row>
    <row r="79" spans="20:33">
      <c r="AC79" s="108" t="s">
        <v>339</v>
      </c>
      <c r="AD79" s="127">
        <v>4786.8963172093518</v>
      </c>
      <c r="AE79" s="127"/>
      <c r="AF79" s="794" t="s">
        <v>339</v>
      </c>
      <c r="AG79" s="794"/>
    </row>
    <row r="80" spans="20:33">
      <c r="AC80" s="108" t="s">
        <v>336</v>
      </c>
      <c r="AD80" s="127">
        <v>28177.920000991286</v>
      </c>
      <c r="AE80" s="127"/>
      <c r="AF80" s="794" t="s">
        <v>336</v>
      </c>
      <c r="AG80" s="794"/>
    </row>
    <row r="81" spans="29:34">
      <c r="AC81" s="108" t="s">
        <v>309</v>
      </c>
      <c r="AD81" s="127">
        <v>14141.07240208268</v>
      </c>
      <c r="AE81" s="127"/>
      <c r="AF81" s="794" t="s">
        <v>309</v>
      </c>
      <c r="AG81" s="794">
        <f>18220.6204275539+40066.469</f>
        <v>58287.089427553896</v>
      </c>
      <c r="AH81" s="796"/>
    </row>
    <row r="82" spans="29:34">
      <c r="AC82" s="108" t="s">
        <v>344</v>
      </c>
      <c r="AD82" s="127">
        <v>6729.9444335260559</v>
      </c>
      <c r="AE82" s="127"/>
      <c r="AF82" s="794" t="s">
        <v>344</v>
      </c>
      <c r="AG82" s="794">
        <v>20944.833339864399</v>
      </c>
    </row>
    <row r="85" spans="29:34">
      <c r="AG85" s="508">
        <f>+SUM(AG52:AG82)</f>
        <v>7136079.9254942043</v>
      </c>
    </row>
  </sheetData>
  <autoFilter ref="Z51:AA76" xr:uid="{32B90DAF-2EDC-4216-90B9-3E355F14C68A}">
    <sortState xmlns:xlrd2="http://schemas.microsoft.com/office/spreadsheetml/2017/richdata2" ref="Z52:AA76">
      <sortCondition ref="Z51:Z76"/>
    </sortState>
  </autoFilter>
  <mergeCells count="4">
    <mergeCell ref="N6:O6"/>
    <mergeCell ref="AO6:AR6"/>
    <mergeCell ref="I6:M6"/>
    <mergeCell ref="P6:S6"/>
  </mergeCells>
  <pageMargins left="0.7" right="0.7" top="0.75" bottom="0.75" header="0.3" footer="0.3"/>
  <pageSetup paperSize="9" orientation="portrait" r:id="rId1"/>
  <ignoredErrors>
    <ignoredError sqref="I12:M25" formula="1"/>
  </ignoredError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F3883A-AC8D-4083-A6A0-9294AFE510CD}">
  <dimension ref="A1:AJ46"/>
  <sheetViews>
    <sheetView showGridLines="0" zoomScale="90" zoomScaleNormal="90" workbookViewId="0">
      <pane xSplit="1" topLeftCell="E1" activePane="topRight" state="frozen"/>
      <selection activeCell="C47" sqref="C47"/>
      <selection pane="topRight" activeCell="F16" sqref="F16"/>
    </sheetView>
  </sheetViews>
  <sheetFormatPr baseColWidth="10" defaultRowHeight="15.75"/>
  <cols>
    <col min="1" max="1" width="20.125" customWidth="1"/>
    <col min="2" max="2" width="13.875" bestFit="1" customWidth="1"/>
    <col min="3" max="3" width="15" bestFit="1" customWidth="1"/>
    <col min="4" max="4" width="12.375" bestFit="1" customWidth="1"/>
    <col min="5" max="5" width="13.875" bestFit="1" customWidth="1"/>
    <col min="6" max="6" width="15" bestFit="1" customWidth="1"/>
    <col min="7" max="7" width="25.625" bestFit="1" customWidth="1"/>
    <col min="8" max="8" width="21.75" bestFit="1" customWidth="1"/>
    <col min="9" max="9" width="18.875" customWidth="1"/>
    <col min="10" max="10" width="21.75" bestFit="1" customWidth="1"/>
    <col min="11" max="11" width="14.875" bestFit="1" customWidth="1"/>
    <col min="12" max="13" width="13.125" bestFit="1" customWidth="1"/>
    <col min="14" max="15" width="13.5" bestFit="1" customWidth="1"/>
    <col min="16" max="16" width="13.125" bestFit="1" customWidth="1"/>
    <col min="17" max="18" width="15.125" bestFit="1" customWidth="1"/>
    <col min="19" max="20" width="16.375" bestFit="1" customWidth="1"/>
    <col min="21" max="25" width="11.25" bestFit="1" customWidth="1"/>
    <col min="26" max="26" width="14" bestFit="1" customWidth="1"/>
    <col min="27" max="27" width="13.625" hidden="1" customWidth="1"/>
    <col min="28" max="28" width="14" bestFit="1" customWidth="1"/>
    <col min="29" max="29" width="15.125" bestFit="1" customWidth="1"/>
    <col min="30" max="30" width="11.25" bestFit="1" customWidth="1"/>
  </cols>
  <sheetData>
    <row r="1" spans="1:11" ht="16.5" thickBot="1"/>
    <row r="2" spans="1:11" ht="16.5" thickBot="1">
      <c r="G2" s="897"/>
      <c r="H2" s="895" t="s">
        <v>2120</v>
      </c>
      <c r="I2" s="895" t="s">
        <v>2144</v>
      </c>
      <c r="J2" s="895" t="s">
        <v>2121</v>
      </c>
      <c r="K2" s="896" t="s">
        <v>2122</v>
      </c>
    </row>
    <row r="3" spans="1:11">
      <c r="G3" s="898" t="s">
        <v>2123</v>
      </c>
      <c r="H3" s="889">
        <v>3500</v>
      </c>
      <c r="I3" s="889">
        <v>2172206</v>
      </c>
      <c r="J3" s="889">
        <v>4500</v>
      </c>
      <c r="K3" s="890">
        <f>+H3+I3-J3</f>
        <v>2171206</v>
      </c>
    </row>
    <row r="4" spans="1:11">
      <c r="G4" s="898" t="s">
        <v>2124</v>
      </c>
      <c r="H4" s="889">
        <v>12225</v>
      </c>
      <c r="I4" s="889">
        <v>615202</v>
      </c>
      <c r="J4" s="889">
        <v>27781</v>
      </c>
      <c r="K4" s="890">
        <f t="shared" ref="K4:K8" si="0">+H4+I4-J4</f>
        <v>599646</v>
      </c>
    </row>
    <row r="5" spans="1:11">
      <c r="G5" s="898" t="s">
        <v>2125</v>
      </c>
      <c r="H5" s="889">
        <v>14000</v>
      </c>
      <c r="I5" s="889">
        <v>600518</v>
      </c>
      <c r="J5" s="889">
        <v>20500</v>
      </c>
      <c r="K5" s="890">
        <f t="shared" si="0"/>
        <v>594018</v>
      </c>
    </row>
    <row r="6" spans="1:11">
      <c r="G6" s="898" t="s">
        <v>2126</v>
      </c>
      <c r="H6" s="889"/>
      <c r="I6" s="889">
        <v>45513</v>
      </c>
      <c r="J6" s="889">
        <v>844</v>
      </c>
      <c r="K6" s="890">
        <f t="shared" si="0"/>
        <v>44669</v>
      </c>
    </row>
    <row r="7" spans="1:11">
      <c r="A7" t="s">
        <v>2127</v>
      </c>
      <c r="G7" s="898" t="s">
        <v>2128</v>
      </c>
      <c r="H7" s="889">
        <v>11074</v>
      </c>
      <c r="I7" s="889">
        <v>446092</v>
      </c>
      <c r="J7" s="889">
        <v>9480</v>
      </c>
      <c r="K7" s="890">
        <f t="shared" si="0"/>
        <v>447686</v>
      </c>
    </row>
    <row r="8" spans="1:11">
      <c r="G8" s="898" t="s">
        <v>2129</v>
      </c>
      <c r="H8" s="889">
        <v>18872</v>
      </c>
      <c r="I8" s="889">
        <v>64374</v>
      </c>
      <c r="J8" s="889">
        <v>4283</v>
      </c>
      <c r="K8" s="890">
        <f t="shared" si="0"/>
        <v>78963</v>
      </c>
    </row>
    <row r="9" spans="1:11" ht="16.5" thickBot="1">
      <c r="B9" s="880">
        <v>2022</v>
      </c>
      <c r="C9" s="880">
        <v>2021</v>
      </c>
      <c r="G9" s="899" t="s">
        <v>119</v>
      </c>
      <c r="H9" s="891">
        <f>+SUM(H3:H8)</f>
        <v>59671</v>
      </c>
      <c r="I9" s="891">
        <f>+SUM(I3:I8)</f>
        <v>3943905</v>
      </c>
      <c r="J9" s="891">
        <f>+SUM(J3:J8)</f>
        <v>67388</v>
      </c>
      <c r="K9" s="892">
        <f>+SUM(K3:K8)</f>
        <v>3936188</v>
      </c>
    </row>
    <row r="10" spans="1:11">
      <c r="A10" s="881" t="s">
        <v>2130</v>
      </c>
      <c r="B10" s="203">
        <f>+K11/1000</f>
        <v>3900.6019999999999</v>
      </c>
      <c r="C10" s="203">
        <f>3327520/1000</f>
        <v>3327.52</v>
      </c>
      <c r="J10" s="203" t="s">
        <v>2131</v>
      </c>
      <c r="K10" s="203">
        <v>-35586</v>
      </c>
    </row>
    <row r="11" spans="1:11">
      <c r="A11" s="881" t="s">
        <v>2132</v>
      </c>
      <c r="B11" s="203">
        <f>(2946634.28238762-I20)/1000</f>
        <v>2790.9442823876198</v>
      </c>
      <c r="C11" s="203">
        <f>(2855132.3202-I21)/1000</f>
        <v>2811.8323202000001</v>
      </c>
      <c r="K11" s="645">
        <f>+K9+K10</f>
        <v>3900602</v>
      </c>
    </row>
    <row r="12" spans="1:11">
      <c r="A12" s="881" t="s">
        <v>2178</v>
      </c>
      <c r="B12" s="203">
        <f>(B10-B11)</f>
        <v>1109.6577176123801</v>
      </c>
      <c r="C12" s="203">
        <f>(C10-C11)</f>
        <v>515.68767979999984</v>
      </c>
      <c r="D12" s="645"/>
      <c r="F12" t="s">
        <v>2133</v>
      </c>
    </row>
    <row r="13" spans="1:11" ht="16.5" thickBot="1">
      <c r="A13" s="881" t="s">
        <v>2177</v>
      </c>
      <c r="B13" s="931">
        <f>+B12/B10</f>
        <v>0.28448370728733158</v>
      </c>
      <c r="C13" s="931">
        <f>+C12/C10</f>
        <v>0.15497658310092796</v>
      </c>
      <c r="D13" s="882">
        <f>+B13-C13</f>
        <v>0.12950712418640362</v>
      </c>
      <c r="E13" t="s">
        <v>2134</v>
      </c>
      <c r="F13" s="203">
        <v>699681.51968891989</v>
      </c>
    </row>
    <row r="14" spans="1:11" ht="16.5" thickBot="1">
      <c r="A14" s="881" t="s">
        <v>2179</v>
      </c>
      <c r="B14" s="894">
        <f>+(B12-C12)*6.25</f>
        <v>3712.3127363273766</v>
      </c>
      <c r="E14" t="s">
        <v>2135</v>
      </c>
      <c r="F14" s="203">
        <v>702529.03131639748</v>
      </c>
    </row>
    <row r="15" spans="1:11" ht="16.5" thickBot="1">
      <c r="E15" t="s">
        <v>2136</v>
      </c>
      <c r="F15" s="203">
        <v>753270.24536000309</v>
      </c>
    </row>
    <row r="16" spans="1:11">
      <c r="A16" s="883" t="s">
        <v>2131</v>
      </c>
      <c r="B16" s="893">
        <f>+B21-B20</f>
        <v>-35586</v>
      </c>
      <c r="E16" t="s">
        <v>2137</v>
      </c>
      <c r="F16" s="203">
        <f>561050+230103.486022296</f>
        <v>791153.48602229601</v>
      </c>
    </row>
    <row r="17" spans="1:36">
      <c r="A17" s="884" t="s">
        <v>2138</v>
      </c>
      <c r="B17" s="885">
        <f>+B12+B16</f>
        <v>-34476.342282387617</v>
      </c>
      <c r="F17" s="203">
        <f>+SUM(F13:F16)</f>
        <v>2946634.2823876166</v>
      </c>
    </row>
    <row r="18" spans="1:36" ht="16.5" thickBot="1">
      <c r="A18" s="886" t="s">
        <v>2139</v>
      </c>
      <c r="B18" s="887">
        <f>+B17/B11</f>
        <v>-12.352931049162155</v>
      </c>
    </row>
    <row r="19" spans="1:36">
      <c r="A19" s="881"/>
      <c r="B19" s="881"/>
      <c r="C19" s="881"/>
      <c r="D19" s="881"/>
      <c r="E19" s="881"/>
      <c r="F19" s="881"/>
      <c r="G19" s="881"/>
      <c r="H19" s="881"/>
      <c r="I19" s="881"/>
      <c r="J19" s="881"/>
      <c r="K19" s="881"/>
    </row>
    <row r="20" spans="1:36">
      <c r="A20" t="s">
        <v>2140</v>
      </c>
      <c r="B20" s="645">
        <f>158899+1598</f>
        <v>160497</v>
      </c>
      <c r="G20" t="s">
        <v>2141</v>
      </c>
      <c r="H20" s="203">
        <v>15569</v>
      </c>
      <c r="I20" s="203">
        <f>+H20*10</f>
        <v>155690</v>
      </c>
      <c r="J20" s="709"/>
    </row>
    <row r="21" spans="1:36">
      <c r="A21" t="s">
        <v>2142</v>
      </c>
      <c r="B21" s="645">
        <v>124911</v>
      </c>
      <c r="G21" t="s">
        <v>2143</v>
      </c>
      <c r="H21" s="203">
        <v>4330</v>
      </c>
      <c r="I21" s="203">
        <f t="shared" ref="I21" si="1">+H21*10</f>
        <v>43300</v>
      </c>
      <c r="J21" s="709"/>
    </row>
    <row r="22" spans="1:36">
      <c r="B22" s="645">
        <f>+B20-B21</f>
        <v>35586</v>
      </c>
      <c r="H22" s="203">
        <f>+H20-H21</f>
        <v>11239</v>
      </c>
      <c r="I22" s="203">
        <f>+H22*10</f>
        <v>112390</v>
      </c>
    </row>
    <row r="23" spans="1:36">
      <c r="H23" s="888"/>
    </row>
    <row r="24" spans="1:36">
      <c r="G24">
        <v>300000</v>
      </c>
      <c r="H24" s="947">
        <f>+H22/H21</f>
        <v>2.5956120092378754</v>
      </c>
      <c r="I24" s="948">
        <f>+H20*10*2.1</f>
        <v>326949</v>
      </c>
    </row>
    <row r="25" spans="1:36">
      <c r="G25" s="415">
        <f>+H20/G24</f>
        <v>5.1896666666666667E-2</v>
      </c>
    </row>
    <row r="26" spans="1:36">
      <c r="A26" s="696"/>
      <c r="B26" s="696"/>
      <c r="C26" s="696"/>
      <c r="D26" s="696"/>
      <c r="E26" s="696"/>
      <c r="F26" s="696"/>
      <c r="G26" s="696"/>
      <c r="H26" s="696"/>
      <c r="I26" s="696"/>
      <c r="J26" s="696"/>
      <c r="K26" s="696"/>
      <c r="L26" s="696"/>
      <c r="M26" s="696"/>
      <c r="N26" s="696"/>
      <c r="O26" s="696"/>
      <c r="P26" s="696"/>
      <c r="Q26" s="696"/>
      <c r="R26" s="696"/>
      <c r="S26" s="696"/>
      <c r="T26" s="696"/>
      <c r="U26" s="696"/>
      <c r="V26" s="696"/>
      <c r="W26" s="696"/>
      <c r="X26" s="696"/>
      <c r="Y26" s="696"/>
      <c r="Z26" s="900"/>
      <c r="AA26" s="696"/>
      <c r="AB26" s="901"/>
      <c r="AC26" s="696"/>
      <c r="AD26" s="696"/>
      <c r="AE26" s="696"/>
      <c r="AF26" s="696"/>
      <c r="AG26" s="696"/>
      <c r="AH26" s="696"/>
      <c r="AI26" s="696"/>
      <c r="AJ26" s="696"/>
    </row>
    <row r="27" spans="1:36">
      <c r="A27" s="696"/>
      <c r="B27" s="696"/>
      <c r="C27" s="696"/>
      <c r="D27" s="696"/>
      <c r="E27" s="696"/>
      <c r="F27" s="696"/>
      <c r="G27" s="696"/>
      <c r="H27" s="696"/>
      <c r="I27" s="696"/>
      <c r="J27" s="696"/>
      <c r="K27" s="696"/>
      <c r="L27" s="696"/>
      <c r="M27" s="696"/>
      <c r="N27" s="696"/>
      <c r="O27" s="696"/>
      <c r="P27" s="696"/>
      <c r="Q27" s="696"/>
      <c r="R27" s="696"/>
      <c r="S27" s="696"/>
      <c r="T27" s="696"/>
      <c r="U27" s="696"/>
      <c r="V27" s="696"/>
      <c r="W27" s="696"/>
      <c r="X27" s="696"/>
      <c r="Y27" s="696"/>
      <c r="Z27" s="900"/>
      <c r="AA27" s="696"/>
      <c r="AB27" s="901"/>
      <c r="AC27" s="696"/>
      <c r="AD27" s="696"/>
      <c r="AE27" s="696"/>
      <c r="AF27" s="696"/>
      <c r="AG27" s="696"/>
      <c r="AH27" s="696"/>
      <c r="AI27" s="696"/>
      <c r="AJ27" s="696"/>
    </row>
    <row r="28" spans="1:36" ht="25.5">
      <c r="A28" s="905" t="s">
        <v>2145</v>
      </c>
      <c r="B28" s="905" t="s">
        <v>2146</v>
      </c>
      <c r="C28" s="905" t="s">
        <v>2147</v>
      </c>
      <c r="D28" s="905" t="s">
        <v>2148</v>
      </c>
      <c r="E28" s="905" t="s">
        <v>2149</v>
      </c>
      <c r="F28" s="905" t="s">
        <v>2150</v>
      </c>
      <c r="G28" s="905" t="s">
        <v>2151</v>
      </c>
      <c r="H28" s="905" t="s">
        <v>2152</v>
      </c>
      <c r="I28" s="905" t="s">
        <v>2153</v>
      </c>
      <c r="J28" s="905" t="s">
        <v>2154</v>
      </c>
      <c r="K28" s="905" t="s">
        <v>2155</v>
      </c>
      <c r="L28" s="905" t="s">
        <v>2156</v>
      </c>
      <c r="M28" s="905" t="s">
        <v>2157</v>
      </c>
      <c r="N28" s="905" t="s">
        <v>2158</v>
      </c>
      <c r="O28" s="905" t="s">
        <v>2159</v>
      </c>
      <c r="P28" s="905" t="s">
        <v>2160</v>
      </c>
      <c r="Q28" s="904" t="s">
        <v>2161</v>
      </c>
      <c r="R28" s="904" t="s">
        <v>2162</v>
      </c>
      <c r="S28" s="904" t="s">
        <v>2163</v>
      </c>
      <c r="T28" s="904" t="s">
        <v>2164</v>
      </c>
      <c r="U28" s="904" t="s">
        <v>2165</v>
      </c>
      <c r="V28" s="904" t="s">
        <v>2166</v>
      </c>
      <c r="W28" s="904" t="s">
        <v>2167</v>
      </c>
      <c r="X28" s="904"/>
      <c r="Y28" s="904"/>
      <c r="Z28" s="906" t="s">
        <v>2182</v>
      </c>
      <c r="AA28" s="904" t="s">
        <v>2168</v>
      </c>
      <c r="AB28" s="907" t="s">
        <v>2183</v>
      </c>
      <c r="AC28" s="904"/>
      <c r="AD28" s="904"/>
      <c r="AE28" s="904"/>
      <c r="AF28" s="904"/>
      <c r="AG28" s="904"/>
      <c r="AH28" s="904"/>
      <c r="AI28" s="904"/>
      <c r="AJ28" s="904"/>
    </row>
    <row r="29" spans="1:36">
      <c r="A29" s="696" t="s">
        <v>2169</v>
      </c>
      <c r="B29" s="687">
        <v>314931</v>
      </c>
      <c r="C29" s="687">
        <v>1613877.7250000001</v>
      </c>
      <c r="D29" s="687">
        <f>+C29/B29</f>
        <v>5.1245438683394147</v>
      </c>
      <c r="E29" s="687">
        <v>745414</v>
      </c>
      <c r="F29" s="926">
        <v>4351674.7070000004</v>
      </c>
      <c r="G29" s="909">
        <f t="shared" ref="G29:G36" si="2">+F29/E29</f>
        <v>5.8379299382624961</v>
      </c>
      <c r="H29" s="908">
        <f t="shared" ref="H29:H36" si="3">+G29-D29</f>
        <v>0.7133860699230814</v>
      </c>
      <c r="I29" s="910">
        <f t="shared" ref="I29:I36" si="4">+H29/D29</f>
        <v>0.13920967177791982</v>
      </c>
      <c r="J29" s="687">
        <f t="shared" ref="J29:J36" si="5">+I29*C29</f>
        <v>224667.38838694597</v>
      </c>
      <c r="K29" s="687">
        <v>78635</v>
      </c>
      <c r="L29" s="924">
        <v>33471</v>
      </c>
      <c r="M29" s="687">
        <v>6725</v>
      </c>
      <c r="N29" s="687">
        <v>358575.6</v>
      </c>
      <c r="O29" s="687">
        <v>173920.15668163274</v>
      </c>
      <c r="P29" s="925">
        <v>34309.26870689229</v>
      </c>
      <c r="Q29" s="923">
        <f>+K29+B29-L29</f>
        <v>360095</v>
      </c>
      <c r="R29" s="923">
        <f>+L29+E29-M29</f>
        <v>772160</v>
      </c>
      <c r="S29" s="930">
        <f>+N29+C29-O29</f>
        <v>1798533.1683183676</v>
      </c>
      <c r="T29" s="930">
        <f>+O29+F29-P29</f>
        <v>4491285.5949747404</v>
      </c>
      <c r="U29" s="911">
        <f>+S29/Q29</f>
        <v>4.9946074461416226</v>
      </c>
      <c r="V29" s="911">
        <f>+T29/R29</f>
        <v>5.8165219578516636</v>
      </c>
      <c r="W29" s="910">
        <f>+(V29-U29)/U29</f>
        <v>0.16456038248711161</v>
      </c>
      <c r="X29" s="687">
        <f>R29-Q29</f>
        <v>412065</v>
      </c>
      <c r="Y29" s="912">
        <f>+X29/Q29</f>
        <v>1.1443230258681736</v>
      </c>
      <c r="Z29" s="927">
        <f>+S29*W29</f>
        <v>295967.30609422724</v>
      </c>
      <c r="AA29" s="687">
        <f>+Q29*V29-Q29*U29</f>
        <v>295967.30609422713</v>
      </c>
      <c r="AB29" s="928">
        <f>+(R29-Q29)*V29</f>
        <v>2396785.120562146</v>
      </c>
      <c r="AC29" s="687">
        <f>(V29-U29)*Q29</f>
        <v>295967.30609422724</v>
      </c>
      <c r="AD29" s="913">
        <f>(R29-Q29)*V29</f>
        <v>2396785.120562146</v>
      </c>
      <c r="AE29" s="913">
        <f>+R29-Q29</f>
        <v>412065</v>
      </c>
      <c r="AF29" s="910">
        <f>+AE29/Q29</f>
        <v>1.1443230258681736</v>
      </c>
      <c r="AG29" s="914"/>
      <c r="AH29" s="915"/>
      <c r="AI29" s="915"/>
      <c r="AJ29" s="915"/>
    </row>
    <row r="30" spans="1:36">
      <c r="A30" s="696" t="s">
        <v>2170</v>
      </c>
      <c r="B30" s="687">
        <v>4835237</v>
      </c>
      <c r="C30" s="687">
        <v>11179662.466</v>
      </c>
      <c r="D30" s="687">
        <f>+C30/B30</f>
        <v>2.3121229561239707</v>
      </c>
      <c r="E30" s="687">
        <v>5375902</v>
      </c>
      <c r="F30" s="926">
        <f>12187092.494-30000</f>
        <v>12157092.494000001</v>
      </c>
      <c r="G30" s="909">
        <f t="shared" si="2"/>
        <v>2.2614051547070613</v>
      </c>
      <c r="H30" s="908">
        <f t="shared" si="3"/>
        <v>-5.0717801416909403E-2</v>
      </c>
      <c r="I30" s="910">
        <f t="shared" si="4"/>
        <v>-2.1935598745982103E-2</v>
      </c>
      <c r="J30" s="687">
        <f t="shared" si="5"/>
        <v>-245232.58996969278</v>
      </c>
      <c r="K30" s="687">
        <v>36494</v>
      </c>
      <c r="L30" s="127">
        <v>117862</v>
      </c>
      <c r="M30" s="127">
        <v>126493</v>
      </c>
      <c r="N30" s="127">
        <v>52952.794000000002</v>
      </c>
      <c r="O30" s="127">
        <v>257637.79872408041</v>
      </c>
      <c r="P30" s="127">
        <v>271499</v>
      </c>
      <c r="Q30" s="923">
        <f t="shared" ref="Q30:Q36" si="6">+K30+B30-L30</f>
        <v>4753869</v>
      </c>
      <c r="R30" s="923">
        <f t="shared" ref="R30:R36" si="7">+L30+E30-M30</f>
        <v>5367271</v>
      </c>
      <c r="S30" s="930">
        <f t="shared" ref="S30:S36" si="8">+N30+C30-O30</f>
        <v>10974977.46127592</v>
      </c>
      <c r="T30" s="930">
        <f t="shared" ref="T30:T36" si="9">+O30+F30-P30</f>
        <v>12143231.29272408</v>
      </c>
      <c r="U30" s="911">
        <f t="shared" ref="U30:V36" si="10">+S30/Q30</f>
        <v>2.3086411218474723</v>
      </c>
      <c r="V30" s="911">
        <f t="shared" si="10"/>
        <v>2.2624591329046142</v>
      </c>
      <c r="W30" s="910">
        <f t="shared" ref="W30:W36" si="11">+(V30-U30)/U30</f>
        <v>-2.0003970520069959E-2</v>
      </c>
      <c r="X30" s="687">
        <f t="shared" ref="X30:X36" si="12">R30-Q30</f>
        <v>613402</v>
      </c>
      <c r="Y30" s="912">
        <f t="shared" ref="Y30:Y36" si="13">+X30/Q30</f>
        <v>0.12903216306549464</v>
      </c>
      <c r="Z30" s="927">
        <f t="shared" ref="Z30:Z36" si="14">+S30*W30</f>
        <v>-219543.12559379573</v>
      </c>
      <c r="AA30" s="687">
        <f t="shared" ref="AA30:AA36" si="15">+Q30*V30-Q30*U30</f>
        <v>-219543.12559379451</v>
      </c>
      <c r="AB30" s="928">
        <f t="shared" ref="AB30:AB36" si="16">+(R30-Q30)*V30</f>
        <v>1387796.9570419563</v>
      </c>
      <c r="AC30" s="687">
        <f t="shared" ref="AC30:AC36" si="17">(V30-U30)*Q30</f>
        <v>-219543.12559379579</v>
      </c>
      <c r="AD30" s="696"/>
      <c r="AE30" s="913">
        <f t="shared" ref="AE30:AE36" si="18">+R30-Q30</f>
        <v>613402</v>
      </c>
      <c r="AF30" s="910">
        <f t="shared" ref="AF30:AF36" si="19">+AE30/Q30</f>
        <v>0.12903216306549464</v>
      </c>
      <c r="AG30" s="696"/>
      <c r="AH30" s="696"/>
      <c r="AI30" s="696"/>
      <c r="AJ30" s="696"/>
    </row>
    <row r="31" spans="1:36">
      <c r="A31" s="696" t="s">
        <v>2171</v>
      </c>
      <c r="B31" s="687">
        <v>500</v>
      </c>
      <c r="C31" s="926">
        <v>19483.77</v>
      </c>
      <c r="D31" s="687">
        <f>+C31/B31</f>
        <v>38.96754</v>
      </c>
      <c r="E31" s="687">
        <v>2588</v>
      </c>
      <c r="F31" s="926">
        <v>126297.713</v>
      </c>
      <c r="G31" s="909">
        <f t="shared" si="2"/>
        <v>48.801280139103554</v>
      </c>
      <c r="H31" s="908">
        <f t="shared" si="3"/>
        <v>9.8337401391035542</v>
      </c>
      <c r="I31" s="910">
        <f t="shared" si="4"/>
        <v>0.25235722191094317</v>
      </c>
      <c r="J31" s="687">
        <f t="shared" si="5"/>
        <v>4916.8700695517773</v>
      </c>
      <c r="K31" s="687">
        <v>1341</v>
      </c>
      <c r="L31" s="127">
        <v>24</v>
      </c>
      <c r="M31" s="127">
        <v>528</v>
      </c>
      <c r="N31" s="127">
        <v>29426.393410111632</v>
      </c>
      <c r="O31" s="127">
        <v>968.0514720000001</v>
      </c>
      <c r="P31" s="127">
        <v>27162.207210071167</v>
      </c>
      <c r="Q31" s="923">
        <f t="shared" si="6"/>
        <v>1817</v>
      </c>
      <c r="R31" s="923">
        <f t="shared" si="7"/>
        <v>2084</v>
      </c>
      <c r="S31" s="930">
        <f t="shared" si="8"/>
        <v>47942.111938111637</v>
      </c>
      <c r="T31" s="930">
        <f t="shared" si="9"/>
        <v>100103.55726192884</v>
      </c>
      <c r="U31" s="911">
        <f t="shared" si="10"/>
        <v>26.385312018773604</v>
      </c>
      <c r="V31" s="911">
        <f t="shared" si="10"/>
        <v>48.034336498046471</v>
      </c>
      <c r="W31" s="910">
        <f t="shared" si="11"/>
        <v>0.82049529919787245</v>
      </c>
      <c r="X31" s="687">
        <f t="shared" si="12"/>
        <v>267</v>
      </c>
      <c r="Y31" s="912">
        <f t="shared" si="13"/>
        <v>0.14694551458447991</v>
      </c>
      <c r="Z31" s="927">
        <f t="shared" si="14"/>
        <v>39336.277478838798</v>
      </c>
      <c r="AA31" s="687">
        <f t="shared" si="15"/>
        <v>39336.277478838798</v>
      </c>
      <c r="AB31" s="928">
        <f t="shared" si="16"/>
        <v>12825.167844978409</v>
      </c>
      <c r="AC31" s="687">
        <f t="shared" si="17"/>
        <v>39336.277478838798</v>
      </c>
      <c r="AD31" s="696"/>
      <c r="AE31" s="913">
        <f t="shared" si="18"/>
        <v>267</v>
      </c>
      <c r="AF31" s="910">
        <f t="shared" si="19"/>
        <v>0.14694551458447991</v>
      </c>
      <c r="AG31" s="696"/>
      <c r="AH31" s="696"/>
      <c r="AI31" s="696"/>
      <c r="AJ31" s="696"/>
    </row>
    <row r="32" spans="1:36">
      <c r="A32" s="696" t="s">
        <v>2172</v>
      </c>
      <c r="B32" s="687">
        <v>3220</v>
      </c>
      <c r="C32" s="926">
        <f>+B32*D32</f>
        <v>107304.295</v>
      </c>
      <c r="D32" s="687">
        <v>33.324315217391302</v>
      </c>
      <c r="E32" s="687">
        <v>3000</v>
      </c>
      <c r="F32" s="926">
        <v>137790.535</v>
      </c>
      <c r="G32" s="909">
        <f t="shared" si="2"/>
        <v>45.930178333333338</v>
      </c>
      <c r="H32" s="908">
        <f t="shared" si="3"/>
        <v>12.605863115942036</v>
      </c>
      <c r="I32" s="910">
        <f t="shared" si="4"/>
        <v>0.37827823418748857</v>
      </c>
      <c r="J32" s="687">
        <f t="shared" si="5"/>
        <v>40590.879233333355</v>
      </c>
      <c r="K32" s="687">
        <v>1140</v>
      </c>
      <c r="L32" s="127">
        <v>1150</v>
      </c>
      <c r="M32" s="127">
        <v>1255</v>
      </c>
      <c r="N32" s="127">
        <v>41283.63819238016</v>
      </c>
      <c r="O32" s="127">
        <v>49879.576833333333</v>
      </c>
      <c r="P32" s="127">
        <v>58081</v>
      </c>
      <c r="Q32" s="923">
        <f t="shared" si="6"/>
        <v>3210</v>
      </c>
      <c r="R32" s="923">
        <f t="shared" si="7"/>
        <v>2895</v>
      </c>
      <c r="S32" s="930">
        <f t="shared" si="8"/>
        <v>98708.356359046826</v>
      </c>
      <c r="T32" s="930">
        <f t="shared" si="9"/>
        <v>129589.11183333333</v>
      </c>
      <c r="U32" s="911">
        <f t="shared" si="10"/>
        <v>30.750266778519261</v>
      </c>
      <c r="V32" s="911">
        <f t="shared" si="10"/>
        <v>44.763078353483017</v>
      </c>
      <c r="W32" s="910">
        <f t="shared" si="11"/>
        <v>0.45569723592617639</v>
      </c>
      <c r="X32" s="687">
        <f t="shared" si="12"/>
        <v>-315</v>
      </c>
      <c r="Y32" s="912">
        <f t="shared" si="13"/>
        <v>-9.8130841121495324E-2</v>
      </c>
      <c r="Z32" s="927">
        <f t="shared" si="14"/>
        <v>44981.125155633657</v>
      </c>
      <c r="AA32" s="687">
        <f t="shared" si="15"/>
        <v>44981.125155633665</v>
      </c>
      <c r="AB32" s="928">
        <f t="shared" si="16"/>
        <v>-14100.369681347151</v>
      </c>
      <c r="AC32" s="687">
        <f t="shared" si="17"/>
        <v>44981.125155633657</v>
      </c>
      <c r="AD32" s="696"/>
      <c r="AE32" s="913">
        <f t="shared" si="18"/>
        <v>-315</v>
      </c>
      <c r="AF32" s="910">
        <f t="shared" si="19"/>
        <v>-9.8130841121495324E-2</v>
      </c>
      <c r="AG32" s="696"/>
      <c r="AH32" s="696"/>
      <c r="AI32" s="696"/>
      <c r="AJ32" s="696"/>
    </row>
    <row r="33" spans="1:36">
      <c r="A33" s="916" t="s">
        <v>2173</v>
      </c>
      <c r="B33" s="687">
        <v>1232963</v>
      </c>
      <c r="C33" s="926">
        <v>859394.5028914999</v>
      </c>
      <c r="D33" s="687">
        <f>+C33/B33</f>
        <v>0.69701564677244965</v>
      </c>
      <c r="E33" s="687">
        <v>1659514</v>
      </c>
      <c r="F33" s="926">
        <v>1331078.2220000001</v>
      </c>
      <c r="G33" s="909">
        <f t="shared" si="2"/>
        <v>0.80208917912111621</v>
      </c>
      <c r="H33" s="908">
        <f t="shared" si="3"/>
        <v>0.10507353234866657</v>
      </c>
      <c r="I33" s="910">
        <f t="shared" si="4"/>
        <v>0.15074773835452976</v>
      </c>
      <c r="J33" s="687">
        <f t="shared" si="5"/>
        <v>129551.777665209</v>
      </c>
      <c r="K33" s="687">
        <v>628275</v>
      </c>
      <c r="L33" s="127">
        <v>691038.15</v>
      </c>
      <c r="M33" s="127">
        <v>880723</v>
      </c>
      <c r="N33" s="127">
        <v>345179</v>
      </c>
      <c r="O33" s="127">
        <v>239939.13977697201</v>
      </c>
      <c r="P33" s="127">
        <v>385674.42271899432</v>
      </c>
      <c r="Q33" s="923">
        <f t="shared" si="6"/>
        <v>1170199.8500000001</v>
      </c>
      <c r="R33" s="923">
        <f t="shared" si="7"/>
        <v>1469829.15</v>
      </c>
      <c r="S33" s="930">
        <f t="shared" si="8"/>
        <v>964634.36311452801</v>
      </c>
      <c r="T33" s="930">
        <f t="shared" si="9"/>
        <v>1185342.9390579779</v>
      </c>
      <c r="U33" s="911">
        <f t="shared" si="10"/>
        <v>0.82433300868610426</v>
      </c>
      <c r="V33" s="911">
        <f t="shared" si="10"/>
        <v>0.80644947003396816</v>
      </c>
      <c r="W33" s="910">
        <f t="shared" si="11"/>
        <v>-2.1694556039482737E-2</v>
      </c>
      <c r="X33" s="687">
        <f t="shared" si="12"/>
        <v>299629.29999999981</v>
      </c>
      <c r="Y33" s="912">
        <f t="shared" si="13"/>
        <v>0.25604968245381315</v>
      </c>
      <c r="Z33" s="927">
        <f t="shared" si="14"/>
        <v>-20927.314248198865</v>
      </c>
      <c r="AA33" s="687">
        <f t="shared" si="15"/>
        <v>-20927.314248198876</v>
      </c>
      <c r="AB33" s="928">
        <f t="shared" si="16"/>
        <v>241635.89019164871</v>
      </c>
      <c r="AC33" s="687">
        <f t="shared" si="17"/>
        <v>-20927.314248198869</v>
      </c>
      <c r="AD33" s="696"/>
      <c r="AE33" s="913">
        <f t="shared" si="18"/>
        <v>299629.29999999981</v>
      </c>
      <c r="AF33" s="910">
        <f t="shared" si="19"/>
        <v>0.25604968245381315</v>
      </c>
      <c r="AG33" s="696"/>
      <c r="AH33" s="696"/>
      <c r="AI33" s="696"/>
      <c r="AJ33" s="696"/>
    </row>
    <row r="34" spans="1:36">
      <c r="A34" s="908" t="s">
        <v>2174</v>
      </c>
      <c r="B34" s="687">
        <v>864586</v>
      </c>
      <c r="C34" s="926">
        <v>608595.4</v>
      </c>
      <c r="D34" s="687">
        <f t="shared" ref="D34" si="20">+C34/B34</f>
        <v>0.70391539997177843</v>
      </c>
      <c r="E34" s="687">
        <v>920780</v>
      </c>
      <c r="F34" s="926">
        <v>1055269</v>
      </c>
      <c r="G34" s="909">
        <f t="shared" si="2"/>
        <v>1.1460598622906666</v>
      </c>
      <c r="H34" s="908">
        <f t="shared" si="3"/>
        <v>0.44214446231888815</v>
      </c>
      <c r="I34" s="910">
        <f t="shared" si="4"/>
        <v>0.62812159293093284</v>
      </c>
      <c r="J34" s="687">
        <f t="shared" si="5"/>
        <v>382271.91209843825</v>
      </c>
      <c r="K34" s="687">
        <v>36600</v>
      </c>
      <c r="L34" s="127">
        <v>51480</v>
      </c>
      <c r="M34" s="127">
        <v>69540</v>
      </c>
      <c r="N34" s="127">
        <v>17811.715125832401</v>
      </c>
      <c r="O34" s="127">
        <v>53024.4</v>
      </c>
      <c r="P34" s="127">
        <v>70574.73581654641</v>
      </c>
      <c r="Q34" s="923">
        <f t="shared" si="6"/>
        <v>849706</v>
      </c>
      <c r="R34" s="923">
        <f t="shared" si="7"/>
        <v>902720</v>
      </c>
      <c r="S34" s="930">
        <f t="shared" si="8"/>
        <v>573382.71512583236</v>
      </c>
      <c r="T34" s="930">
        <f t="shared" si="9"/>
        <v>1037718.6641834535</v>
      </c>
      <c r="U34" s="911">
        <f t="shared" si="10"/>
        <v>0.6748013020101451</v>
      </c>
      <c r="V34" s="911">
        <f t="shared" si="10"/>
        <v>1.1495465528441307</v>
      </c>
      <c r="W34" s="910">
        <f t="shared" si="11"/>
        <v>0.70353339482271504</v>
      </c>
      <c r="X34" s="687">
        <f t="shared" si="12"/>
        <v>53014</v>
      </c>
      <c r="Y34" s="912">
        <f t="shared" si="13"/>
        <v>6.2390991707720084E-2</v>
      </c>
      <c r="Z34" s="927">
        <f t="shared" si="14"/>
        <v>403393.88810514257</v>
      </c>
      <c r="AA34" s="687">
        <f t="shared" si="15"/>
        <v>403393.88810514251</v>
      </c>
      <c r="AB34" s="928">
        <f t="shared" si="16"/>
        <v>60942.060952478743</v>
      </c>
      <c r="AC34" s="687">
        <f t="shared" si="17"/>
        <v>403393.88810514251</v>
      </c>
      <c r="AD34" s="696"/>
      <c r="AE34" s="913">
        <f t="shared" si="18"/>
        <v>53014</v>
      </c>
      <c r="AF34" s="910">
        <f t="shared" si="19"/>
        <v>6.2390991707720084E-2</v>
      </c>
      <c r="AG34" s="696"/>
      <c r="AH34" s="696"/>
      <c r="AI34" s="696"/>
      <c r="AJ34" s="696"/>
    </row>
    <row r="35" spans="1:36">
      <c r="A35" s="908" t="s">
        <v>2175</v>
      </c>
      <c r="B35" s="687">
        <v>150075</v>
      </c>
      <c r="C35" s="926">
        <v>309053.95</v>
      </c>
      <c r="D35" s="687">
        <f>+C35/B35</f>
        <v>2.0593300016658338</v>
      </c>
      <c r="E35" s="687">
        <v>135000</v>
      </c>
      <c r="F35" s="926">
        <v>508315</v>
      </c>
      <c r="G35" s="909">
        <f t="shared" si="2"/>
        <v>3.7652962962962961</v>
      </c>
      <c r="H35" s="908">
        <f t="shared" si="3"/>
        <v>1.7059662946304623</v>
      </c>
      <c r="I35" s="910">
        <f t="shared" si="4"/>
        <v>0.82840841110966756</v>
      </c>
      <c r="J35" s="687">
        <f t="shared" si="5"/>
        <v>256022.89166666666</v>
      </c>
      <c r="K35" s="687">
        <v>25725</v>
      </c>
      <c r="L35" s="127">
        <v>4700</v>
      </c>
      <c r="M35" s="127">
        <v>20450</v>
      </c>
      <c r="N35" s="127">
        <v>51519.137197755685</v>
      </c>
      <c r="O35" s="127">
        <v>9486</v>
      </c>
      <c r="P35" s="127">
        <v>76706</v>
      </c>
      <c r="Q35" s="923">
        <f t="shared" si="6"/>
        <v>171100</v>
      </c>
      <c r="R35" s="923">
        <f t="shared" si="7"/>
        <v>119250</v>
      </c>
      <c r="S35" s="930">
        <f t="shared" si="8"/>
        <v>351087.0871977557</v>
      </c>
      <c r="T35" s="930">
        <f t="shared" si="9"/>
        <v>441095</v>
      </c>
      <c r="U35" s="911">
        <f t="shared" si="10"/>
        <v>2.0519408953697003</v>
      </c>
      <c r="V35" s="911">
        <f t="shared" si="10"/>
        <v>3.698909853249476</v>
      </c>
      <c r="W35" s="910">
        <f t="shared" si="11"/>
        <v>0.80263956997798402</v>
      </c>
      <c r="X35" s="687">
        <f t="shared" si="12"/>
        <v>-51850</v>
      </c>
      <c r="Y35" s="912">
        <f t="shared" si="13"/>
        <v>-0.30303915838690826</v>
      </c>
      <c r="Z35" s="927">
        <f t="shared" si="14"/>
        <v>281796.38869322959</v>
      </c>
      <c r="AA35" s="687">
        <f t="shared" si="15"/>
        <v>281796.38869322964</v>
      </c>
      <c r="AB35" s="928">
        <f t="shared" si="16"/>
        <v>-191788.47589098534</v>
      </c>
      <c r="AC35" s="687">
        <f t="shared" si="17"/>
        <v>281796.38869322964</v>
      </c>
      <c r="AD35" s="696"/>
      <c r="AE35" s="913">
        <f t="shared" si="18"/>
        <v>-51850</v>
      </c>
      <c r="AF35" s="910">
        <f t="shared" si="19"/>
        <v>-0.30303915838690826</v>
      </c>
      <c r="AG35" s="696"/>
      <c r="AH35" s="696"/>
      <c r="AI35" s="696"/>
      <c r="AJ35" s="696"/>
    </row>
    <row r="36" spans="1:36">
      <c r="A36" s="908" t="s">
        <v>2176</v>
      </c>
      <c r="B36" s="687">
        <v>553870</v>
      </c>
      <c r="C36" s="926">
        <v>434276.11312549998</v>
      </c>
      <c r="D36" s="687">
        <f>+C36/B36</f>
        <v>0.78407588987578314</v>
      </c>
      <c r="E36" s="687">
        <v>522750</v>
      </c>
      <c r="F36" s="926">
        <v>632998</v>
      </c>
      <c r="G36" s="909">
        <f t="shared" si="2"/>
        <v>1.2109000478240077</v>
      </c>
      <c r="H36" s="908">
        <f t="shared" si="3"/>
        <v>0.42682415794822459</v>
      </c>
      <c r="I36" s="910">
        <f t="shared" si="4"/>
        <v>0.54436587511426227</v>
      </c>
      <c r="J36" s="687">
        <f t="shared" si="5"/>
        <v>236405.09636278317</v>
      </c>
      <c r="K36" s="687">
        <v>63259</v>
      </c>
      <c r="L36" s="127">
        <v>64122</v>
      </c>
      <c r="M36" s="127">
        <v>6477</v>
      </c>
      <c r="N36" s="127">
        <v>51227</v>
      </c>
      <c r="O36" s="127">
        <v>56447.304998342828</v>
      </c>
      <c r="P36" s="127">
        <v>9864.8527579928941</v>
      </c>
      <c r="Q36" s="923">
        <f t="shared" si="6"/>
        <v>553007</v>
      </c>
      <c r="R36" s="923">
        <f t="shared" si="7"/>
        <v>580395</v>
      </c>
      <c r="S36" s="930">
        <f t="shared" si="8"/>
        <v>429055.80812715716</v>
      </c>
      <c r="T36" s="930">
        <f t="shared" si="9"/>
        <v>679580.45224034996</v>
      </c>
      <c r="U36" s="911">
        <f t="shared" si="10"/>
        <v>0.77585963310981088</v>
      </c>
      <c r="V36" s="911">
        <f t="shared" si="10"/>
        <v>1.1708930163773807</v>
      </c>
      <c r="W36" s="910">
        <f t="shared" si="11"/>
        <v>0.50915573695230387</v>
      </c>
      <c r="X36" s="687">
        <f t="shared" si="12"/>
        <v>27388</v>
      </c>
      <c r="Y36" s="912">
        <f t="shared" si="13"/>
        <v>4.9525593708578737E-2</v>
      </c>
      <c r="Z36" s="927">
        <f t="shared" si="14"/>
        <v>218456.22618064898</v>
      </c>
      <c r="AA36" s="687">
        <f t="shared" si="15"/>
        <v>218456.22618064901</v>
      </c>
      <c r="AB36" s="928">
        <f t="shared" si="16"/>
        <v>32068.417932543704</v>
      </c>
      <c r="AC36" s="687">
        <f t="shared" si="17"/>
        <v>218456.22618064901</v>
      </c>
      <c r="AD36" s="696"/>
      <c r="AE36" s="913">
        <f t="shared" si="18"/>
        <v>27388</v>
      </c>
      <c r="AF36" s="910">
        <f t="shared" si="19"/>
        <v>4.9525593708578737E-2</v>
      </c>
      <c r="AG36" s="696"/>
      <c r="AH36" s="696"/>
      <c r="AI36" s="696"/>
      <c r="AJ36" s="696"/>
    </row>
    <row r="37" spans="1:36">
      <c r="A37" s="696"/>
      <c r="B37" s="696"/>
      <c r="C37" s="696"/>
      <c r="D37" s="696"/>
      <c r="E37" s="696"/>
      <c r="F37" s="696"/>
      <c r="G37" s="696"/>
      <c r="H37" s="696"/>
      <c r="I37" s="696"/>
      <c r="J37" s="696"/>
      <c r="K37" s="696"/>
      <c r="L37" s="696"/>
      <c r="M37" s="696"/>
      <c r="N37" s="696"/>
      <c r="O37" s="696"/>
      <c r="P37" s="696"/>
      <c r="Q37" s="696"/>
      <c r="R37" s="696"/>
      <c r="S37" s="696"/>
      <c r="T37" s="696"/>
      <c r="U37" s="696"/>
      <c r="V37" s="696"/>
      <c r="W37" s="696"/>
      <c r="X37" s="127"/>
      <c r="Y37" s="696"/>
      <c r="Z37" s="900"/>
      <c r="AA37" s="127"/>
      <c r="AB37" s="929"/>
      <c r="AC37" s="127"/>
      <c r="AD37" s="696"/>
      <c r="AE37" s="696"/>
      <c r="AF37" s="696"/>
      <c r="AG37" s="696"/>
      <c r="AH37" s="696"/>
      <c r="AI37" s="696"/>
      <c r="AJ37" s="696"/>
    </row>
    <row r="38" spans="1:36" ht="16.5" customHeight="1">
      <c r="A38" s="696"/>
      <c r="B38" s="696"/>
      <c r="C38" s="696"/>
      <c r="D38" s="696"/>
      <c r="E38" s="696"/>
      <c r="F38" s="696"/>
      <c r="G38" s="696"/>
      <c r="H38" s="696"/>
      <c r="I38" s="696"/>
      <c r="J38" s="696"/>
      <c r="K38" s="696"/>
      <c r="L38" s="696"/>
      <c r="M38" s="696"/>
      <c r="N38" s="696"/>
      <c r="O38" s="902">
        <f>SUM(O29:O37)</f>
        <v>841302.42848636152</v>
      </c>
      <c r="P38" s="902">
        <f>SUM(P29:P37)</f>
        <v>933871.48721049703</v>
      </c>
      <c r="Q38" s="696"/>
      <c r="R38" s="696"/>
      <c r="S38" s="902">
        <f>SUM(S29:S37)/1000</f>
        <v>15238.321071456721</v>
      </c>
      <c r="T38" s="902">
        <f>SUM(T29:T37)/1000</f>
        <v>20207.946612275864</v>
      </c>
      <c r="U38" s="911"/>
      <c r="V38" s="696"/>
      <c r="W38" s="696"/>
      <c r="X38" s="696"/>
      <c r="Y38" s="696"/>
      <c r="Z38" s="900"/>
      <c r="AA38" s="696"/>
      <c r="AB38" s="901"/>
      <c r="AC38" s="696"/>
      <c r="AD38" s="696"/>
      <c r="AE38" s="696"/>
      <c r="AF38" s="696"/>
      <c r="AG38" s="696"/>
      <c r="AH38" s="696"/>
      <c r="AI38" s="696"/>
      <c r="AJ38" s="696"/>
    </row>
    <row r="39" spans="1:36">
      <c r="A39" s="696"/>
      <c r="B39" s="696"/>
      <c r="C39" s="696"/>
      <c r="D39" s="696"/>
      <c r="E39" s="696"/>
      <c r="F39" s="696"/>
      <c r="G39" s="696"/>
      <c r="H39" s="696"/>
      <c r="I39" s="696"/>
      <c r="J39" s="696"/>
      <c r="K39" s="696"/>
      <c r="L39" s="696"/>
      <c r="M39" s="696"/>
      <c r="N39" s="696"/>
      <c r="O39" s="696"/>
      <c r="P39" s="696"/>
      <c r="Q39" s="696"/>
      <c r="R39" s="696"/>
      <c r="S39" s="696"/>
      <c r="T39" s="696"/>
      <c r="U39" s="696"/>
      <c r="V39" s="696"/>
      <c r="W39" s="696"/>
      <c r="X39" s="696"/>
      <c r="Y39" s="696"/>
      <c r="Z39" s="917" t="s">
        <v>2181</v>
      </c>
      <c r="AA39" s="696"/>
      <c r="AB39" s="918" t="s">
        <v>2180</v>
      </c>
      <c r="AC39" s="696"/>
      <c r="AD39" s="696"/>
      <c r="AE39" s="696"/>
      <c r="AF39" s="696"/>
      <c r="AG39" s="696"/>
      <c r="AH39" s="696"/>
      <c r="AI39" s="696"/>
      <c r="AJ39" s="696"/>
    </row>
    <row r="40" spans="1:36">
      <c r="A40" s="696"/>
      <c r="B40" s="696"/>
      <c r="C40" s="696"/>
      <c r="D40" s="696"/>
      <c r="E40" s="696"/>
      <c r="F40" s="696"/>
      <c r="G40" s="696"/>
      <c r="H40" s="696"/>
      <c r="I40" s="696"/>
      <c r="J40" s="696"/>
      <c r="K40" s="696"/>
      <c r="L40" s="696"/>
      <c r="M40" s="696"/>
      <c r="N40" s="696"/>
      <c r="O40" s="696"/>
      <c r="P40" s="696"/>
      <c r="Q40" s="696"/>
      <c r="R40" s="696"/>
      <c r="S40" s="696"/>
      <c r="T40" s="863">
        <f>+T38-S38</f>
        <v>4969.6255408191428</v>
      </c>
      <c r="U40" s="696"/>
      <c r="V40" s="696"/>
      <c r="W40" s="696"/>
      <c r="X40" s="696"/>
      <c r="Y40" s="696"/>
      <c r="Z40" s="919">
        <f>+SUM(Z29:Z36)/1000</f>
        <v>1043.4607718657264</v>
      </c>
      <c r="AA40" s="903">
        <f>+SUM(AA29:AA36)</f>
        <v>1043460.7718657274</v>
      </c>
      <c r="AB40" s="920">
        <f>+SUM(AB29:AB36)/1000</f>
        <v>3926.1647689534193</v>
      </c>
      <c r="AC40" s="863">
        <f>+AB40+Z40</f>
        <v>4969.6255408191455</v>
      </c>
      <c r="AD40" s="868">
        <f>+AC40-T40</f>
        <v>0</v>
      </c>
      <c r="AE40" s="863">
        <f>+AC40/3.27</f>
        <v>1519.763162330014</v>
      </c>
      <c r="AF40" s="863">
        <f>+AD40/3.27</f>
        <v>0</v>
      </c>
      <c r="AG40" s="696"/>
      <c r="AH40" s="696"/>
      <c r="AI40" s="696"/>
      <c r="AJ40" s="696"/>
    </row>
    <row r="41" spans="1:36">
      <c r="A41" s="696"/>
      <c r="B41" s="696"/>
      <c r="C41" s="696"/>
      <c r="D41" s="696"/>
      <c r="E41" s="696"/>
      <c r="F41" s="696"/>
      <c r="G41" s="696"/>
      <c r="H41" s="696"/>
      <c r="I41" s="696"/>
      <c r="J41" s="696"/>
      <c r="K41" s="696"/>
      <c r="L41" s="696"/>
      <c r="M41" s="696"/>
      <c r="N41" s="696"/>
      <c r="O41" s="696"/>
      <c r="P41" s="696"/>
      <c r="Q41" s="696"/>
      <c r="R41" s="696"/>
      <c r="S41" s="696"/>
      <c r="T41" s="696"/>
      <c r="U41" s="696"/>
      <c r="V41" s="696"/>
      <c r="W41" s="696"/>
      <c r="X41" s="696"/>
      <c r="Y41" s="696"/>
      <c r="Z41" s="921">
        <f>+Z40/S38</f>
        <v>6.8476098316385972E-2</v>
      </c>
      <c r="AA41" s="696"/>
      <c r="AB41" s="922">
        <f>+AB40/S38</f>
        <v>0.25765074449754288</v>
      </c>
      <c r="AC41" s="696"/>
      <c r="AD41" s="696"/>
      <c r="AE41" s="955">
        <f>+Z40/$AC$40</f>
        <v>0.2099676853507422</v>
      </c>
      <c r="AF41" s="955">
        <f>+AB40/AC40</f>
        <v>0.79003231464925783</v>
      </c>
      <c r="AG41" s="696"/>
      <c r="AH41" s="696"/>
      <c r="AI41" s="696"/>
      <c r="AJ41" s="696"/>
    </row>
    <row r="42" spans="1:36">
      <c r="A42" s="696"/>
      <c r="B42" s="696"/>
      <c r="C42" s="696"/>
      <c r="D42" s="696"/>
      <c r="E42" s="696"/>
      <c r="F42" s="696"/>
      <c r="G42" s="696"/>
      <c r="H42" s="696"/>
      <c r="I42" s="696"/>
      <c r="J42" s="696"/>
      <c r="K42" s="696"/>
      <c r="L42" s="696"/>
      <c r="M42" s="696"/>
      <c r="N42" s="696"/>
      <c r="O42" s="696"/>
      <c r="P42" s="696"/>
      <c r="Q42" s="696"/>
      <c r="R42" s="696"/>
      <c r="S42" s="696"/>
      <c r="T42" s="696"/>
      <c r="U42" s="696"/>
      <c r="V42" s="696"/>
      <c r="W42" s="696"/>
      <c r="X42" s="696"/>
      <c r="Y42" s="696"/>
      <c r="Z42" s="900"/>
      <c r="AA42" s="696"/>
      <c r="AB42" s="901"/>
      <c r="AC42" s="863">
        <v>3547</v>
      </c>
      <c r="AD42" s="696"/>
      <c r="AE42" s="863">
        <f>+AE41*AE40</f>
        <v>319.10115347575731</v>
      </c>
      <c r="AF42" s="696"/>
      <c r="AG42" s="696"/>
      <c r="AH42" s="696"/>
      <c r="AI42" s="696"/>
      <c r="AJ42" s="696"/>
    </row>
    <row r="43" spans="1:36">
      <c r="A43" s="696"/>
      <c r="B43" s="696"/>
      <c r="C43" s="696"/>
      <c r="D43" s="696"/>
      <c r="E43" s="696"/>
      <c r="F43" s="696"/>
      <c r="G43" s="696"/>
      <c r="H43" s="696"/>
      <c r="I43" s="696"/>
      <c r="J43" s="696"/>
      <c r="K43" s="696"/>
      <c r="L43" s="696"/>
      <c r="M43" s="696"/>
      <c r="N43" s="696"/>
      <c r="O43" s="696"/>
      <c r="P43" s="696"/>
      <c r="Q43" s="696"/>
      <c r="R43" s="696"/>
      <c r="S43" s="696"/>
      <c r="T43" s="696"/>
      <c r="U43" s="696"/>
      <c r="V43" s="696"/>
      <c r="W43" s="696"/>
      <c r="X43" s="696"/>
      <c r="Y43" s="696"/>
      <c r="Z43" s="900"/>
      <c r="AA43" s="696"/>
      <c r="AB43" s="901"/>
      <c r="AC43" s="863">
        <f>+AC40-AC42</f>
        <v>1422.6255408191455</v>
      </c>
      <c r="AD43" s="696"/>
      <c r="AE43" s="696"/>
      <c r="AF43" s="696"/>
      <c r="AG43" s="696"/>
      <c r="AH43" s="696"/>
      <c r="AI43" s="696"/>
      <c r="AJ43" s="696"/>
    </row>
    <row r="45" spans="1:36">
      <c r="AC45" s="709">
        <f>+'5,6 Inventory stratificatio (2)'!M29</f>
        <v>0</v>
      </c>
    </row>
    <row r="46" spans="1:36">
      <c r="AC46" s="709">
        <f>+AC40-AC45</f>
        <v>4969.6255408191455</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20993C-8DB4-4EF5-9583-B43B627555B4}">
  <sheetPr codeName="Sheet8"/>
  <dimension ref="B1:Y77"/>
  <sheetViews>
    <sheetView showGridLines="0" zoomScale="70" zoomScaleNormal="70" zoomScaleSheetLayoutView="100" workbookViewId="0">
      <pane xSplit="2" ySplit="6" topLeftCell="C16" activePane="bottomRight" state="frozen"/>
      <selection activeCell="C47" sqref="C47"/>
      <selection pane="topRight" activeCell="C47" sqref="C47"/>
      <selection pane="bottomLeft" activeCell="C47" sqref="C47"/>
      <selection pane="bottomRight" activeCell="J17" sqref="J17"/>
    </sheetView>
  </sheetViews>
  <sheetFormatPr baseColWidth="10" defaultColWidth="10.375" defaultRowHeight="15"/>
  <cols>
    <col min="1" max="1" width="2.25" style="453" customWidth="1"/>
    <col min="2" max="2" width="22.875" style="453" customWidth="1"/>
    <col min="3" max="4" width="12.125" style="453" customWidth="1"/>
    <col min="5" max="5" width="9.875" style="453" customWidth="1"/>
    <col min="6" max="8" width="12.125" style="453" customWidth="1"/>
    <col min="9" max="9" width="2.125" style="453" customWidth="1"/>
    <col min="10" max="12" width="12.125" style="453" customWidth="1"/>
    <col min="13" max="13" width="0.375" style="453" customWidth="1"/>
    <col min="14" max="14" width="4.375" style="453" hidden="1" customWidth="1"/>
    <col min="15" max="15" width="12" style="453" hidden="1" customWidth="1"/>
    <col min="16" max="16" width="43.75" style="453" hidden="1" customWidth="1"/>
    <col min="17" max="17" width="1.125" style="453" customWidth="1"/>
    <col min="18" max="18" width="0.125" style="453" customWidth="1"/>
    <col min="19" max="19" width="0.25" style="453" customWidth="1"/>
    <col min="20" max="20" width="7.125" style="597" customWidth="1"/>
    <col min="21" max="21" width="5.625" style="502" customWidth="1"/>
    <col min="22" max="22" width="8.625" style="597" customWidth="1"/>
    <col min="23" max="23" width="42.625" style="453" customWidth="1"/>
    <col min="24" max="16384" width="10.375" style="453"/>
  </cols>
  <sheetData>
    <row r="1" spans="2:25" ht="15.75" thickBot="1"/>
    <row r="2" spans="2:25" ht="21" customHeight="1">
      <c r="B2" s="462"/>
      <c r="C2" s="463"/>
      <c r="D2" s="463"/>
      <c r="E2" s="463"/>
      <c r="F2" s="463"/>
      <c r="G2" s="463"/>
      <c r="H2" s="464"/>
      <c r="I2" s="464"/>
      <c r="J2" s="464"/>
      <c r="K2" s="464"/>
      <c r="L2" s="464"/>
      <c r="M2" s="465"/>
      <c r="O2" s="453" t="s">
        <v>2209</v>
      </c>
    </row>
    <row r="3" spans="2:25" ht="15.75">
      <c r="B3" s="466" t="s">
        <v>592</v>
      </c>
      <c r="C3" s="448">
        <f>'FY22 Fcst'!N6</f>
        <v>3.3321000000000001</v>
      </c>
      <c r="D3" s="449"/>
      <c r="E3" s="450"/>
      <c r="F3" s="451">
        <f>'FY22 Fcst'!N7</f>
        <v>3.2702</v>
      </c>
      <c r="G3" s="449"/>
      <c r="H3" s="452"/>
      <c r="I3" s="430"/>
      <c r="J3" s="430"/>
      <c r="K3" s="430"/>
      <c r="L3" s="430"/>
      <c r="M3" s="455"/>
      <c r="T3" s="1261" t="s">
        <v>606</v>
      </c>
      <c r="U3" s="1261"/>
      <c r="V3" s="1261"/>
      <c r="W3" s="1261"/>
    </row>
    <row r="4" spans="2:25">
      <c r="B4" s="447"/>
      <c r="C4" s="430"/>
      <c r="D4" s="430"/>
      <c r="E4" s="430"/>
      <c r="F4" s="430"/>
      <c r="G4" s="430"/>
      <c r="H4" s="430"/>
      <c r="I4" s="430"/>
      <c r="J4" s="430"/>
      <c r="K4" s="430"/>
      <c r="L4" s="430"/>
      <c r="M4" s="455"/>
    </row>
    <row r="5" spans="2:25">
      <c r="B5" s="1263" t="s">
        <v>169</v>
      </c>
      <c r="C5" s="1262">
        <v>44926</v>
      </c>
      <c r="D5" s="1264"/>
      <c r="E5" s="1265" t="s">
        <v>594</v>
      </c>
      <c r="F5" s="1262">
        <v>44561</v>
      </c>
      <c r="G5" s="1264"/>
      <c r="H5" s="1266" t="s">
        <v>594</v>
      </c>
      <c r="I5" s="430"/>
      <c r="J5" s="1262" t="s">
        <v>593</v>
      </c>
      <c r="K5" s="1262"/>
      <c r="L5" s="1262"/>
      <c r="M5" s="455"/>
    </row>
    <row r="6" spans="2:25">
      <c r="B6" s="1263"/>
      <c r="C6" s="446" t="s">
        <v>521</v>
      </c>
      <c r="D6" s="446" t="s">
        <v>522</v>
      </c>
      <c r="E6" s="1265"/>
      <c r="F6" s="446" t="s">
        <v>521</v>
      </c>
      <c r="G6" s="446" t="s">
        <v>522</v>
      </c>
      <c r="H6" s="1266"/>
      <c r="I6" s="430"/>
      <c r="J6" s="446" t="s">
        <v>521</v>
      </c>
      <c r="K6" s="446" t="s">
        <v>522</v>
      </c>
      <c r="L6" s="446" t="s">
        <v>596</v>
      </c>
      <c r="M6" s="455"/>
    </row>
    <row r="7" spans="2:25" ht="18" customHeight="1">
      <c r="B7" s="454" t="s">
        <v>597</v>
      </c>
      <c r="C7" s="459">
        <v>31465470.735999998</v>
      </c>
      <c r="D7" s="431">
        <f>+C7/$C$3</f>
        <v>9443135.1808169018</v>
      </c>
      <c r="F7" s="459">
        <v>28572437.77</v>
      </c>
      <c r="G7" s="431">
        <f t="shared" ref="G7:G12" si="0">+F7/$F$3</f>
        <v>8737214.1673292145</v>
      </c>
      <c r="J7" s="459">
        <f>C7-F7</f>
        <v>2893032.9659999982</v>
      </c>
      <c r="K7" s="431">
        <f>D7-G7</f>
        <v>705921.01348768733</v>
      </c>
      <c r="L7" s="435">
        <f t="shared" ref="L7:L19" si="1">K7/G7</f>
        <v>8.0794747612724802E-2</v>
      </c>
      <c r="M7" s="455"/>
    </row>
    <row r="8" spans="2:25" ht="18" customHeight="1">
      <c r="B8" s="454" t="s">
        <v>598</v>
      </c>
      <c r="C8" s="459">
        <v>7380617.3209999995</v>
      </c>
      <c r="D8" s="431">
        <f>+C8/$C$3</f>
        <v>2215004.748056781</v>
      </c>
      <c r="F8" s="459">
        <v>9010087.4325269982</v>
      </c>
      <c r="G8" s="431">
        <f t="shared" si="0"/>
        <v>2755209.9053657264</v>
      </c>
      <c r="J8" s="459">
        <f t="shared" ref="J8:J22" si="2">C8-F8</f>
        <v>-1629470.1115269987</v>
      </c>
      <c r="K8" s="431">
        <f t="shared" ref="K8:K22" si="3">D8-G8</f>
        <v>-540205.15730894543</v>
      </c>
      <c r="L8" s="435">
        <f t="shared" si="1"/>
        <v>-0.19606678832596555</v>
      </c>
      <c r="M8" s="455"/>
      <c r="V8" s="1023"/>
    </row>
    <row r="9" spans="2:25" ht="18" customHeight="1">
      <c r="B9" s="454" t="s">
        <v>599</v>
      </c>
      <c r="C9" s="459">
        <v>769977.88899999997</v>
      </c>
      <c r="D9" s="431">
        <f>+C9/$C$3</f>
        <v>231078.86588037573</v>
      </c>
      <c r="F9" s="459">
        <v>221147.12</v>
      </c>
      <c r="G9" s="431">
        <f t="shared" si="0"/>
        <v>67624.952602287318</v>
      </c>
      <c r="J9" s="459">
        <f t="shared" si="2"/>
        <v>548830.76899999997</v>
      </c>
      <c r="K9" s="431">
        <f t="shared" si="3"/>
        <v>163453.91327808841</v>
      </c>
      <c r="L9" s="435">
        <f t="shared" si="1"/>
        <v>2.4170651067126929</v>
      </c>
      <c r="M9" s="455"/>
    </row>
    <row r="10" spans="2:25" ht="18" customHeight="1">
      <c r="B10" s="467" t="s">
        <v>600</v>
      </c>
      <c r="C10" s="432">
        <f>SUM(C7:C9)</f>
        <v>39616065.945999995</v>
      </c>
      <c r="D10" s="432">
        <f>SUM(D7:D9)</f>
        <v>11889218.794754058</v>
      </c>
      <c r="E10" s="430"/>
      <c r="F10" s="432">
        <f>SUM(F7:F9)</f>
        <v>37803672.322526999</v>
      </c>
      <c r="G10" s="432">
        <f t="shared" si="0"/>
        <v>11560049.02529723</v>
      </c>
      <c r="H10" s="430"/>
      <c r="I10" s="430"/>
      <c r="J10" s="432">
        <f t="shared" si="2"/>
        <v>1812393.6234729961</v>
      </c>
      <c r="K10" s="432">
        <f t="shared" si="3"/>
        <v>329169.76945682801</v>
      </c>
      <c r="L10" s="445">
        <f t="shared" si="1"/>
        <v>2.8474772791749856E-2</v>
      </c>
      <c r="M10" s="455"/>
      <c r="O10" s="500">
        <v>12148068.426604519</v>
      </c>
      <c r="P10" s="498">
        <f>+O10-D10</f>
        <v>258849.63185046054</v>
      </c>
    </row>
    <row r="11" spans="2:25" ht="18" customHeight="1">
      <c r="B11" s="447" t="s">
        <v>573</v>
      </c>
      <c r="C11" s="431">
        <v>1124564.645</v>
      </c>
      <c r="D11" s="431">
        <f>+C11/$C$3</f>
        <v>337494.26637856005</v>
      </c>
      <c r="E11" s="435">
        <f>+D11/$D$10</f>
        <v>2.8386580498247237E-2</v>
      </c>
      <c r="F11" s="431">
        <f>-1054861.408</f>
        <v>-1054861.4080000001</v>
      </c>
      <c r="G11" s="431">
        <f t="shared" si="0"/>
        <v>-322567.85762338695</v>
      </c>
      <c r="H11" s="435">
        <f t="shared" ref="H11:H22" si="4">+G11/$G$10</f>
        <v>-2.7903675574169388E-2</v>
      </c>
      <c r="I11" s="430"/>
      <c r="J11" s="431">
        <f t="shared" si="2"/>
        <v>2179426.0530000003</v>
      </c>
      <c r="K11" s="431">
        <f t="shared" si="3"/>
        <v>660062.124001947</v>
      </c>
      <c r="L11" s="435">
        <f t="shared" si="1"/>
        <v>-2.0462737014938432</v>
      </c>
      <c r="M11" s="455"/>
      <c r="T11" s="949">
        <f>+E11+E12-H11-H12</f>
        <v>-1.1473343733251151E-2</v>
      </c>
      <c r="Y11" s="629">
        <v>0.1</v>
      </c>
    </row>
    <row r="12" spans="2:25" ht="18" customHeight="1">
      <c r="B12" s="447" t="s">
        <v>572</v>
      </c>
      <c r="C12" s="431">
        <f>-28027514.927+271000</f>
        <v>-27756514.927000001</v>
      </c>
      <c r="D12" s="431">
        <f>+C12/$C$3</f>
        <v>-8330036.5916389069</v>
      </c>
      <c r="E12" s="435">
        <f>+D12/$D$10</f>
        <v>-0.70063784134533824</v>
      </c>
      <c r="F12" s="431">
        <v>-23924970.448533505</v>
      </c>
      <c r="G12" s="431">
        <f t="shared" si="0"/>
        <v>-7316057.2590463907</v>
      </c>
      <c r="H12" s="435">
        <f t="shared" si="4"/>
        <v>-0.63287424153967042</v>
      </c>
      <c r="I12" s="430"/>
      <c r="J12" s="431">
        <f t="shared" si="2"/>
        <v>-3831544.4784664959</v>
      </c>
      <c r="K12" s="431">
        <f t="shared" si="3"/>
        <v>-1013979.3325925162</v>
      </c>
      <c r="L12" s="435">
        <f>-K12/G12</f>
        <v>-0.13859641835617387</v>
      </c>
      <c r="M12" s="455"/>
    </row>
    <row r="13" spans="2:25" ht="112.5" customHeight="1">
      <c r="B13" s="602" t="s">
        <v>574</v>
      </c>
      <c r="C13" s="528">
        <f>C10+C11+C12</f>
        <v>12984115.663999997</v>
      </c>
      <c r="D13" s="528">
        <f>D10+D11+D12</f>
        <v>3896676.4694937104</v>
      </c>
      <c r="E13" s="603">
        <f>+D13/$D$10</f>
        <v>0.32774873915290897</v>
      </c>
      <c r="F13" s="528">
        <f>F10+F11+F12</f>
        <v>12823840.465993494</v>
      </c>
      <c r="G13" s="528">
        <f>G10+G11+G12</f>
        <v>3921423.9086274523</v>
      </c>
      <c r="H13" s="603">
        <f t="shared" si="4"/>
        <v>0.33922208288616018</v>
      </c>
      <c r="I13" s="945"/>
      <c r="J13" s="528">
        <f t="shared" si="2"/>
        <v>160275.19800650328</v>
      </c>
      <c r="K13" s="528">
        <f>D13-G13</f>
        <v>-24747.439133741893</v>
      </c>
      <c r="L13" s="603">
        <f>K13/G13</f>
        <v>-6.3108298695521052E-3</v>
      </c>
      <c r="M13" s="604"/>
      <c r="N13" s="605"/>
      <c r="O13" s="954">
        <f>+L13</f>
        <v>-6.3108298695521052E-3</v>
      </c>
      <c r="P13" s="952" t="s">
        <v>2210</v>
      </c>
      <c r="Q13" s="605"/>
      <c r="R13" s="605"/>
      <c r="S13" s="605"/>
      <c r="T13" s="606">
        <f>E13-H13</f>
        <v>-1.1473343733251207E-2</v>
      </c>
      <c r="U13" s="607"/>
      <c r="V13" s="1024">
        <f>K11+K12</f>
        <v>-353917.20859056921</v>
      </c>
      <c r="W13" s="988" t="s">
        <v>2241</v>
      </c>
    </row>
    <row r="14" spans="2:25" ht="18" customHeight="1">
      <c r="B14" s="447" t="s">
        <v>578</v>
      </c>
      <c r="C14" s="431">
        <f>-3991712.925-271000</f>
        <v>-4262712.9249999998</v>
      </c>
      <c r="D14" s="431">
        <f>+C14/$C$3</f>
        <v>-1279287.2137690946</v>
      </c>
      <c r="E14" s="435">
        <f>+D14/$D$10</f>
        <v>-0.10760061160061762</v>
      </c>
      <c r="F14" s="431">
        <v>-3351174.9270000001</v>
      </c>
      <c r="G14" s="431">
        <f>+F14/$F$3</f>
        <v>-1024761.4601553422</v>
      </c>
      <c r="H14" s="435">
        <f t="shared" si="4"/>
        <v>-8.8646809188509798E-2</v>
      </c>
      <c r="I14" s="505"/>
      <c r="J14" s="431">
        <f>C14-F14</f>
        <v>-911537.99799999967</v>
      </c>
      <c r="K14" s="431">
        <f t="shared" si="3"/>
        <v>-254525.75361375231</v>
      </c>
      <c r="L14" s="435">
        <f>-K14/G14</f>
        <v>-0.24837561082280465</v>
      </c>
      <c r="M14" s="455"/>
      <c r="O14" s="498"/>
      <c r="W14" s="600" t="s">
        <v>2211</v>
      </c>
      <c r="Y14" s="498"/>
    </row>
    <row r="15" spans="2:25" ht="18" customHeight="1">
      <c r="B15" s="447" t="s">
        <v>579</v>
      </c>
      <c r="C15" s="431">
        <v>-3027640.1269999999</v>
      </c>
      <c r="D15" s="431">
        <f>+C15/$C$3</f>
        <v>-908628.23054530169</v>
      </c>
      <c r="E15" s="435">
        <f t="shared" ref="E15" si="5">+D15/$D$10</f>
        <v>-7.6424552885360347E-2</v>
      </c>
      <c r="F15" s="431">
        <v>-2476935.1727750003</v>
      </c>
      <c r="G15" s="431">
        <f>+F15/$F$3</f>
        <v>-757426.20413889072</v>
      </c>
      <c r="H15" s="435">
        <f t="shared" si="4"/>
        <v>-6.5521020065000629E-2</v>
      </c>
      <c r="I15" s="505"/>
      <c r="J15" s="431">
        <f t="shared" si="2"/>
        <v>-550704.95422499953</v>
      </c>
      <c r="K15" s="431">
        <f t="shared" si="3"/>
        <v>-151202.02640641097</v>
      </c>
      <c r="L15" s="435">
        <f>-K15/G15</f>
        <v>-0.19962608314866903</v>
      </c>
      <c r="M15" s="455"/>
      <c r="W15" s="600"/>
    </row>
    <row r="16" spans="2:25" ht="18" customHeight="1">
      <c r="B16" s="610" t="s">
        <v>595</v>
      </c>
      <c r="C16" s="611">
        <f>SUM(C11:C15)-C13</f>
        <v>-33922303.334000006</v>
      </c>
      <c r="D16" s="611">
        <f>SUM(D11:D15)-D13</f>
        <v>-10180457.769574743</v>
      </c>
      <c r="E16" s="612">
        <f>D16/D10</f>
        <v>-0.85627642533306891</v>
      </c>
      <c r="F16" s="611">
        <f>SUM(F11:F15)-F13</f>
        <v>-30807941.956308506</v>
      </c>
      <c r="G16" s="611">
        <f>SUM(G11:G15)-G13</f>
        <v>-9420812.7809640095</v>
      </c>
      <c r="H16" s="612">
        <f t="shared" si="4"/>
        <v>-0.81494574636735007</v>
      </c>
      <c r="I16" s="430"/>
      <c r="J16" s="611">
        <f>C16-F16</f>
        <v>-3114361.3776914999</v>
      </c>
      <c r="K16" s="611">
        <f t="shared" si="3"/>
        <v>-759644.9886107333</v>
      </c>
      <c r="L16" s="612">
        <f>-K16/G16</f>
        <v>-8.0634761168982771E-2</v>
      </c>
      <c r="M16" s="455"/>
      <c r="W16" s="600"/>
    </row>
    <row r="17" spans="2:23" ht="85.5" customHeight="1">
      <c r="B17" s="613" t="s">
        <v>5</v>
      </c>
      <c r="C17" s="534">
        <f>+C10+C16</f>
        <v>5693762.6119999886</v>
      </c>
      <c r="D17" s="534">
        <f>+D10+D16</f>
        <v>1708761.0251793154</v>
      </c>
      <c r="E17" s="535">
        <f>+D17/D10</f>
        <v>0.14372357466693109</v>
      </c>
      <c r="F17" s="534">
        <f>+F10+F16</f>
        <v>6995730.3662184924</v>
      </c>
      <c r="G17" s="534">
        <f>+F17/$F$3</f>
        <v>2139236.2443332188</v>
      </c>
      <c r="H17" s="535">
        <f t="shared" si="4"/>
        <v>0.18505425363264971</v>
      </c>
      <c r="I17" s="945"/>
      <c r="J17" s="534">
        <f t="shared" si="2"/>
        <v>-1301967.7542185038</v>
      </c>
      <c r="K17" s="534">
        <f t="shared" si="3"/>
        <v>-430475.21915390342</v>
      </c>
      <c r="L17" s="535">
        <f t="shared" si="1"/>
        <v>-0.20122846193085084</v>
      </c>
      <c r="M17" s="604"/>
      <c r="N17" s="605"/>
      <c r="O17" s="953">
        <f>+L17</f>
        <v>-0.20122846193085084</v>
      </c>
      <c r="P17" s="951" t="s">
        <v>2212</v>
      </c>
      <c r="Q17" s="605"/>
      <c r="R17" s="605"/>
      <c r="S17" s="605"/>
      <c r="T17" s="606">
        <f>E17-H17</f>
        <v>-4.1330678965718626E-2</v>
      </c>
      <c r="U17" s="614">
        <f>T17-T13</f>
        <v>-2.9857335232467419E-2</v>
      </c>
      <c r="V17" s="1024">
        <f>K14+K15</f>
        <v>-405727.78002016328</v>
      </c>
      <c r="W17" s="609" t="s">
        <v>2212</v>
      </c>
    </row>
    <row r="18" spans="2:23" ht="48" customHeight="1">
      <c r="B18" s="447" t="s">
        <v>580</v>
      </c>
      <c r="C18" s="431">
        <v>-2329752.75</v>
      </c>
      <c r="D18" s="431">
        <f>+C18/$C$3</f>
        <v>-699184.52327361121</v>
      </c>
      <c r="E18" s="435">
        <f t="shared" ref="E18:E22" si="6">+D18/$D$10</f>
        <v>-5.880828129617028E-2</v>
      </c>
      <c r="F18" s="431">
        <v>-2052630.6550000003</v>
      </c>
      <c r="G18" s="431">
        <f>+F18/$F$3</f>
        <v>-627677.40658063733</v>
      </c>
      <c r="H18" s="435">
        <f t="shared" si="4"/>
        <v>-5.4297123239449116E-2</v>
      </c>
      <c r="I18" s="430"/>
      <c r="J18" s="431">
        <f t="shared" si="2"/>
        <v>-277122.09499999974</v>
      </c>
      <c r="K18" s="431">
        <f t="shared" si="3"/>
        <v>-71507.116692973883</v>
      </c>
      <c r="L18" s="435">
        <f>-K18/G18</f>
        <v>-0.11392335607954913</v>
      </c>
      <c r="M18" s="455"/>
      <c r="O18" s="619">
        <f>+L18</f>
        <v>-0.11392335607954913</v>
      </c>
      <c r="P18" s="600" t="s">
        <v>2213</v>
      </c>
      <c r="W18" s="600"/>
    </row>
    <row r="19" spans="2:23" ht="17.25" customHeight="1">
      <c r="B19" s="468" t="s">
        <v>528</v>
      </c>
      <c r="C19" s="433">
        <f>C17+C18</f>
        <v>3364009.8619999886</v>
      </c>
      <c r="D19" s="433">
        <f>D17+D18</f>
        <v>1009576.5019057041</v>
      </c>
      <c r="E19" s="461">
        <f>+D19/$D$10</f>
        <v>8.4915293370760814E-2</v>
      </c>
      <c r="F19" s="433">
        <f>F17+F18</f>
        <v>4943099.7112184921</v>
      </c>
      <c r="G19" s="433">
        <f>G17+G18</f>
        <v>1511558.8377525816</v>
      </c>
      <c r="H19" s="461">
        <f t="shared" si="4"/>
        <v>0.13075713039320061</v>
      </c>
      <c r="I19" s="505"/>
      <c r="J19" s="433">
        <f t="shared" si="2"/>
        <v>-1579089.8492185036</v>
      </c>
      <c r="K19" s="433">
        <f t="shared" si="3"/>
        <v>-501982.33584687742</v>
      </c>
      <c r="L19" s="461">
        <f t="shared" si="1"/>
        <v>-0.33209579627957825</v>
      </c>
      <c r="M19" s="455"/>
      <c r="T19" s="598"/>
      <c r="U19" s="615"/>
      <c r="V19" s="1022"/>
      <c r="W19" s="601"/>
    </row>
    <row r="20" spans="2:23" ht="30">
      <c r="B20" s="447" t="s">
        <v>584</v>
      </c>
      <c r="C20" s="431">
        <v>-1220979.9950000001</v>
      </c>
      <c r="D20" s="431">
        <f>+C20/$C$3</f>
        <v>-366429.57744365418</v>
      </c>
      <c r="E20" s="435">
        <f t="shared" si="6"/>
        <v>-3.0820324175154033E-2</v>
      </c>
      <c r="F20" s="431">
        <v>-1373516.6589999998</v>
      </c>
      <c r="G20" s="431">
        <f t="shared" ref="G20:G22" si="7">+F20/$F$3</f>
        <v>-420009.98685095704</v>
      </c>
      <c r="H20" s="435">
        <f t="shared" si="4"/>
        <v>-3.6332889759536101E-2</v>
      </c>
      <c r="I20" s="430"/>
      <c r="J20" s="431">
        <f t="shared" si="2"/>
        <v>152536.66399999964</v>
      </c>
      <c r="K20" s="431">
        <f t="shared" si="3"/>
        <v>53580.409407302854</v>
      </c>
      <c r="L20" s="435">
        <f t="shared" ref="L20:L22" si="8">-K20/G20</f>
        <v>0.12756936997861476</v>
      </c>
      <c r="M20" s="455"/>
      <c r="O20" s="499">
        <f>+L20</f>
        <v>0.12756936997861476</v>
      </c>
      <c r="P20" s="957" t="s">
        <v>2214</v>
      </c>
      <c r="W20" s="600"/>
    </row>
    <row r="21" spans="2:23" ht="18" customHeight="1">
      <c r="B21" s="447" t="s">
        <v>585</v>
      </c>
      <c r="C21" s="431">
        <v>29325.842000000001</v>
      </c>
      <c r="D21" s="431">
        <f>+C21/$C$3</f>
        <v>8801.0089733201276</v>
      </c>
      <c r="E21" s="435">
        <f t="shared" si="6"/>
        <v>7.4025124150322165E-4</v>
      </c>
      <c r="F21" s="431">
        <v>14148.990000000002</v>
      </c>
      <c r="G21" s="431">
        <f t="shared" si="7"/>
        <v>4326.6436303589999</v>
      </c>
      <c r="H21" s="435">
        <f t="shared" si="4"/>
        <v>3.7427554337277161E-4</v>
      </c>
      <c r="I21" s="430"/>
      <c r="J21" s="431">
        <f t="shared" si="2"/>
        <v>15176.851999999999</v>
      </c>
      <c r="K21" s="431">
        <f t="shared" si="3"/>
        <v>4474.3653429611277</v>
      </c>
      <c r="L21" s="435">
        <v>-1</v>
      </c>
      <c r="M21" s="455"/>
      <c r="W21" s="600"/>
    </row>
    <row r="22" spans="2:23" ht="18" customHeight="1">
      <c r="B22" s="447" t="s">
        <v>586</v>
      </c>
      <c r="C22" s="431">
        <v>-19222.234</v>
      </c>
      <c r="D22" s="431">
        <f>+C22/$C$3</f>
        <v>-5768.8046577233572</v>
      </c>
      <c r="E22" s="435">
        <f t="shared" si="6"/>
        <v>-4.8521309577284898E-4</v>
      </c>
      <c r="F22" s="431">
        <v>-19002.063999999998</v>
      </c>
      <c r="G22" s="431">
        <f t="shared" si="7"/>
        <v>-5810.673353311724</v>
      </c>
      <c r="H22" s="435">
        <f t="shared" si="4"/>
        <v>-5.0265127255049173E-4</v>
      </c>
      <c r="I22" s="430"/>
      <c r="J22" s="431">
        <f t="shared" si="2"/>
        <v>-220.17000000000189</v>
      </c>
      <c r="K22" s="431">
        <f t="shared" si="3"/>
        <v>41.868695588366791</v>
      </c>
      <c r="L22" s="435">
        <f t="shared" si="8"/>
        <v>7.2054808526630099E-3</v>
      </c>
      <c r="M22" s="455"/>
      <c r="W22" s="600"/>
    </row>
    <row r="23" spans="2:23" ht="48.75" customHeight="1">
      <c r="B23" s="602" t="s">
        <v>529</v>
      </c>
      <c r="C23" s="528">
        <f>C19+C20+C21+C22</f>
        <v>2153133.4749999885</v>
      </c>
      <c r="D23" s="528">
        <f>D19+D20+D21+D22</f>
        <v>646179.12877764669</v>
      </c>
      <c r="E23" s="603">
        <f>+D23/$D$10</f>
        <v>5.4350007341337152E-2</v>
      </c>
      <c r="F23" s="528">
        <f>F19+F20+F21+F22</f>
        <v>3564729.9782184926</v>
      </c>
      <c r="G23" s="528">
        <f>G19+G20+G21+G22</f>
        <v>1090064.8211786719</v>
      </c>
      <c r="H23" s="603">
        <f>+G23/$G$10</f>
        <v>9.4295864904486798E-2</v>
      </c>
      <c r="I23" s="945"/>
      <c r="J23" s="528">
        <f>C23-F23</f>
        <v>-1411596.5032185041</v>
      </c>
      <c r="K23" s="528">
        <f>D23-G23</f>
        <v>-443885.69240102521</v>
      </c>
      <c r="L23" s="603">
        <f>K23/G23</f>
        <v>-0.40721036380300557</v>
      </c>
      <c r="M23" s="604"/>
      <c r="N23" s="605"/>
      <c r="O23" s="605"/>
      <c r="P23" s="605"/>
      <c r="Q23" s="605"/>
      <c r="R23" s="605"/>
      <c r="S23" s="605"/>
      <c r="T23" s="606">
        <f>E23-H23</f>
        <v>-3.9945857563149646E-2</v>
      </c>
      <c r="U23" s="614">
        <f>T23-T17</f>
        <v>1.3848214025689795E-3</v>
      </c>
      <c r="V23" s="1024">
        <f>K20+K21+K22</f>
        <v>58096.643445852351</v>
      </c>
      <c r="W23" s="609" t="s">
        <v>2200</v>
      </c>
    </row>
    <row r="24" spans="2:23">
      <c r="B24" s="454"/>
      <c r="C24" s="469"/>
      <c r="D24" s="469"/>
      <c r="E24" s="469"/>
      <c r="F24" s="460"/>
      <c r="G24" s="469"/>
      <c r="M24" s="455"/>
    </row>
    <row r="25" spans="2:23" ht="6" customHeight="1" thickBot="1">
      <c r="B25" s="470"/>
      <c r="C25" s="471"/>
      <c r="D25" s="471"/>
      <c r="E25" s="471"/>
      <c r="F25" s="472"/>
      <c r="G25" s="472"/>
      <c r="H25" s="471"/>
      <c r="I25" s="471"/>
      <c r="J25" s="471"/>
      <c r="K25" s="471"/>
      <c r="L25" s="471"/>
      <c r="M25" s="473"/>
    </row>
    <row r="26" spans="2:23">
      <c r="F26" s="457"/>
      <c r="G26" s="457"/>
      <c r="H26" s="458"/>
      <c r="V26" s="599"/>
    </row>
    <row r="27" spans="2:23">
      <c r="V27" s="599"/>
    </row>
    <row r="28" spans="2:23">
      <c r="V28" s="599"/>
    </row>
    <row r="29" spans="2:23">
      <c r="D29" s="498">
        <f>D12+D11</f>
        <v>-7992542.3252603468</v>
      </c>
      <c r="F29" s="457"/>
      <c r="G29" s="498">
        <f>G12+G11</f>
        <v>-7638625.1166697778</v>
      </c>
      <c r="K29" s="501">
        <f>D29-G29</f>
        <v>-353917.20859056897</v>
      </c>
      <c r="T29" s="599">
        <f>G30-D30</f>
        <v>1.1473343733251151E-2</v>
      </c>
      <c r="U29" s="504"/>
    </row>
    <row r="30" spans="2:23">
      <c r="D30" s="500">
        <f>D29/D10</f>
        <v>-0.67225126084709097</v>
      </c>
      <c r="F30" s="457"/>
      <c r="G30" s="500">
        <f>G29/G10</f>
        <v>-0.66077791711383982</v>
      </c>
      <c r="T30" s="599">
        <f>D30-G30</f>
        <v>-1.1473343733251151E-2</v>
      </c>
      <c r="U30" s="504"/>
    </row>
    <row r="31" spans="2:23">
      <c r="C31" s="456"/>
      <c r="F31" s="457"/>
      <c r="G31" s="457"/>
    </row>
    <row r="32" spans="2:23">
      <c r="D32" s="498">
        <f>D14+D15</f>
        <v>-2187915.444314396</v>
      </c>
      <c r="F32" s="457"/>
      <c r="G32" s="498">
        <f>G14+G15</f>
        <v>-1782187.6642942331</v>
      </c>
      <c r="K32" s="498">
        <v>0</v>
      </c>
    </row>
    <row r="33" spans="6:7">
      <c r="F33" s="457"/>
      <c r="G33" s="457"/>
    </row>
    <row r="34" spans="6:7">
      <c r="F34" s="457"/>
      <c r="G34" s="457"/>
    </row>
    <row r="35" spans="6:7">
      <c r="F35" s="457"/>
      <c r="G35" s="457"/>
    </row>
    <row r="36" spans="6:7">
      <c r="F36" s="457"/>
      <c r="G36" s="457"/>
    </row>
    <row r="37" spans="6:7">
      <c r="F37" s="457"/>
      <c r="G37" s="457"/>
    </row>
    <row r="38" spans="6:7">
      <c r="F38" s="457"/>
      <c r="G38" s="457"/>
    </row>
    <row r="39" spans="6:7">
      <c r="F39" s="457"/>
      <c r="G39" s="457"/>
    </row>
    <row r="40" spans="6:7">
      <c r="F40" s="457"/>
      <c r="G40" s="457"/>
    </row>
    <row r="41" spans="6:7">
      <c r="F41" s="457"/>
      <c r="G41" s="457"/>
    </row>
    <row r="42" spans="6:7">
      <c r="F42" s="457"/>
      <c r="G42" s="457"/>
    </row>
    <row r="43" spans="6:7">
      <c r="F43" s="457"/>
      <c r="G43" s="457"/>
    </row>
    <row r="44" spans="6:7">
      <c r="F44" s="457"/>
      <c r="G44" s="457"/>
    </row>
    <row r="45" spans="6:7">
      <c r="F45" s="457"/>
      <c r="G45" s="457"/>
    </row>
    <row r="46" spans="6:7">
      <c r="F46" s="457"/>
      <c r="G46" s="457"/>
    </row>
    <row r="47" spans="6:7">
      <c r="F47" s="457"/>
      <c r="G47" s="457"/>
    </row>
    <row r="48" spans="6:7">
      <c r="F48" s="457"/>
      <c r="G48" s="457"/>
    </row>
    <row r="49" spans="6:7">
      <c r="F49" s="457"/>
      <c r="G49" s="457"/>
    </row>
    <row r="50" spans="6:7">
      <c r="F50" s="457"/>
      <c r="G50" s="457"/>
    </row>
    <row r="51" spans="6:7">
      <c r="F51" s="457"/>
      <c r="G51" s="457"/>
    </row>
    <row r="52" spans="6:7">
      <c r="F52" s="457"/>
      <c r="G52" s="457"/>
    </row>
    <row r="53" spans="6:7">
      <c r="F53" s="457"/>
      <c r="G53" s="457"/>
    </row>
    <row r="54" spans="6:7">
      <c r="F54" s="457"/>
      <c r="G54" s="457"/>
    </row>
    <row r="55" spans="6:7">
      <c r="F55" s="457"/>
      <c r="G55" s="457"/>
    </row>
    <row r="56" spans="6:7">
      <c r="F56" s="457"/>
      <c r="G56" s="457"/>
    </row>
    <row r="57" spans="6:7">
      <c r="F57" s="457"/>
      <c r="G57" s="457"/>
    </row>
    <row r="58" spans="6:7">
      <c r="F58" s="457"/>
      <c r="G58" s="457"/>
    </row>
    <row r="59" spans="6:7">
      <c r="F59" s="457"/>
      <c r="G59" s="457"/>
    </row>
    <row r="60" spans="6:7">
      <c r="F60" s="457"/>
      <c r="G60" s="457"/>
    </row>
    <row r="61" spans="6:7">
      <c r="F61" s="457"/>
      <c r="G61" s="457"/>
    </row>
    <row r="62" spans="6:7">
      <c r="F62" s="457"/>
      <c r="G62" s="457"/>
    </row>
    <row r="63" spans="6:7">
      <c r="F63" s="457"/>
      <c r="G63" s="457"/>
    </row>
    <row r="64" spans="6:7">
      <c r="F64" s="457"/>
      <c r="G64" s="457"/>
    </row>
    <row r="65" spans="6:7">
      <c r="F65" s="457"/>
      <c r="G65" s="457"/>
    </row>
    <row r="66" spans="6:7">
      <c r="F66" s="457"/>
      <c r="G66" s="457"/>
    </row>
    <row r="67" spans="6:7">
      <c r="F67" s="457"/>
      <c r="G67" s="457"/>
    </row>
    <row r="68" spans="6:7">
      <c r="F68" s="457"/>
      <c r="G68" s="457"/>
    </row>
    <row r="69" spans="6:7">
      <c r="F69" s="457"/>
      <c r="G69" s="457"/>
    </row>
    <row r="70" spans="6:7">
      <c r="F70" s="457"/>
      <c r="G70" s="457"/>
    </row>
    <row r="71" spans="6:7">
      <c r="F71" s="457"/>
      <c r="G71" s="457"/>
    </row>
    <row r="72" spans="6:7">
      <c r="F72" s="457"/>
      <c r="G72" s="457"/>
    </row>
    <row r="73" spans="6:7">
      <c r="F73" s="457"/>
      <c r="G73" s="457"/>
    </row>
    <row r="74" spans="6:7">
      <c r="F74" s="457"/>
      <c r="G74" s="457"/>
    </row>
    <row r="75" spans="6:7">
      <c r="F75" s="457"/>
      <c r="G75" s="457"/>
    </row>
    <row r="76" spans="6:7">
      <c r="F76" s="457"/>
      <c r="G76" s="457"/>
    </row>
    <row r="77" spans="6:7">
      <c r="G77" s="457"/>
    </row>
  </sheetData>
  <mergeCells count="7">
    <mergeCell ref="T3:W3"/>
    <mergeCell ref="J5:L5"/>
    <mergeCell ref="B5:B6"/>
    <mergeCell ref="C5:D5"/>
    <mergeCell ref="E5:E6"/>
    <mergeCell ref="F5:G5"/>
    <mergeCell ref="H5:H6"/>
  </mergeCells>
  <pageMargins left="0.24" right="0.12" top="0.98425196850393704" bottom="0.98425196850393704" header="0.51181102362204722" footer="0.51181102362204722"/>
  <pageSetup paperSize="9" orientation="portrait" verticalDpi="180"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C33ABC-2C10-4A44-A2A4-238FA039DA23}">
  <sheetPr codeName="Sheet9"/>
  <dimension ref="A1:U24"/>
  <sheetViews>
    <sheetView showGridLines="0" topLeftCell="A6" zoomScale="60" zoomScaleNormal="60" workbookViewId="0">
      <selection activeCell="C47" sqref="C47"/>
    </sheetView>
  </sheetViews>
  <sheetFormatPr baseColWidth="10" defaultColWidth="10.375" defaultRowHeight="15"/>
  <cols>
    <col min="1" max="1" width="3.5" style="453" customWidth="1"/>
    <col min="2" max="2" width="28.125" style="453" bestFit="1" customWidth="1"/>
    <col min="3" max="7" width="11.125" style="453" customWidth="1"/>
    <col min="8" max="8" width="7.625" style="453" customWidth="1"/>
    <col min="9" max="9" width="4.75" style="453" bestFit="1" customWidth="1"/>
    <col min="10" max="10" width="10.75" style="453" bestFit="1" customWidth="1"/>
    <col min="11" max="11" width="11.125" style="453" customWidth="1"/>
    <col min="12" max="12" width="7.875" style="453" customWidth="1"/>
    <col min="13" max="13" width="2" style="453" customWidth="1"/>
    <col min="14" max="14" width="2.375" style="453" customWidth="1"/>
    <col min="15" max="15" width="5.75" style="958" hidden="1" customWidth="1"/>
    <col min="16" max="16" width="2" style="453" customWidth="1"/>
    <col min="17" max="17" width="11.875" style="1018" customWidth="1"/>
    <col min="18" max="18" width="46.375" style="453" customWidth="1"/>
    <col min="19" max="16384" width="10.375" style="453"/>
  </cols>
  <sheetData>
    <row r="1" spans="1:21" ht="15.75" thickBot="1"/>
    <row r="2" spans="1:21">
      <c r="B2" s="462"/>
      <c r="C2" s="463"/>
      <c r="D2" s="463"/>
      <c r="E2" s="463"/>
      <c r="F2" s="463"/>
      <c r="G2" s="463"/>
      <c r="H2" s="464"/>
      <c r="I2" s="464"/>
      <c r="J2" s="464"/>
      <c r="K2" s="464"/>
      <c r="L2" s="464"/>
      <c r="M2" s="465"/>
      <c r="O2" s="961"/>
    </row>
    <row r="3" spans="1:21" ht="21" customHeight="1">
      <c r="B3" s="466" t="s">
        <v>592</v>
      </c>
      <c r="C3" s="448">
        <v>3.2610999999999999</v>
      </c>
      <c r="D3" s="449"/>
      <c r="E3" s="450"/>
      <c r="F3" s="451">
        <v>3.2964000000000002</v>
      </c>
      <c r="G3" s="449"/>
      <c r="H3" s="452"/>
      <c r="I3" s="430"/>
      <c r="J3" s="430"/>
      <c r="K3" s="430"/>
      <c r="L3" s="430"/>
      <c r="M3" s="455"/>
      <c r="O3" s="1261" t="s">
        <v>606</v>
      </c>
      <c r="P3" s="1261"/>
      <c r="Q3" s="1261"/>
      <c r="R3" s="1261"/>
    </row>
    <row r="4" spans="1:21">
      <c r="B4" s="447"/>
      <c r="C4" s="430"/>
      <c r="D4" s="430"/>
      <c r="E4" s="430"/>
      <c r="F4" s="430"/>
      <c r="G4" s="430"/>
      <c r="H4" s="430"/>
      <c r="I4" s="430"/>
      <c r="J4" s="430"/>
      <c r="K4" s="430"/>
      <c r="L4" s="430"/>
      <c r="M4" s="455"/>
      <c r="T4" s="497">
        <f>6%*5/12+14%*3/12+3%*3/12</f>
        <v>6.7500000000000004E-2</v>
      </c>
    </row>
    <row r="5" spans="1:21">
      <c r="B5" s="1263" t="s">
        <v>170</v>
      </c>
      <c r="C5" s="1262">
        <v>44926</v>
      </c>
      <c r="D5" s="1264"/>
      <c r="E5" s="1265" t="s">
        <v>594</v>
      </c>
      <c r="F5" s="1262">
        <v>44561</v>
      </c>
      <c r="G5" s="1264"/>
      <c r="H5" s="1266" t="s">
        <v>594</v>
      </c>
      <c r="I5" s="430"/>
      <c r="J5" s="1262" t="s">
        <v>593</v>
      </c>
      <c r="K5" s="1262"/>
      <c r="L5" s="1262"/>
      <c r="M5" s="455"/>
    </row>
    <row r="6" spans="1:21">
      <c r="A6" s="500"/>
      <c r="B6" s="1263"/>
      <c r="C6" s="446" t="s">
        <v>521</v>
      </c>
      <c r="D6" s="446" t="s">
        <v>522</v>
      </c>
      <c r="E6" s="1265"/>
      <c r="F6" s="446" t="s">
        <v>521</v>
      </c>
      <c r="G6" s="446" t="s">
        <v>522</v>
      </c>
      <c r="H6" s="1266"/>
      <c r="I6" s="430"/>
      <c r="J6" s="446" t="s">
        <v>521</v>
      </c>
      <c r="K6" s="446" t="s">
        <v>522</v>
      </c>
      <c r="L6" s="446" t="s">
        <v>596</v>
      </c>
      <c r="M6" s="455"/>
    </row>
    <row r="7" spans="1:21" ht="23.1" customHeight="1">
      <c r="A7" s="500"/>
      <c r="B7" s="454" t="s">
        <v>597</v>
      </c>
      <c r="C7" s="431">
        <f>Feuil1!C4+Feuil1!C5</f>
        <v>39672674.391999997</v>
      </c>
      <c r="D7" s="431">
        <f>+C7/$C$3</f>
        <v>12165427.123363283</v>
      </c>
      <c r="F7" s="431">
        <f>+Feuil1!D4+Feuil1!D5</f>
        <v>33044802.533</v>
      </c>
      <c r="G7" s="431">
        <f>+F7/$F$3</f>
        <v>10024512.356813492</v>
      </c>
      <c r="J7" s="628">
        <f>C7-F7</f>
        <v>6627871.8589999974</v>
      </c>
      <c r="K7" s="431">
        <f>D7-G7</f>
        <v>2140914.7665497903</v>
      </c>
      <c r="L7" s="435">
        <f t="shared" ref="L7:L21" si="0">K7/G7</f>
        <v>0.21356797122352256</v>
      </c>
      <c r="M7" s="455"/>
    </row>
    <row r="8" spans="1:21" ht="23.1" customHeight="1">
      <c r="A8" s="959"/>
      <c r="B8" s="467" t="s">
        <v>600</v>
      </c>
      <c r="C8" s="432">
        <f>SUM(C7:C7)</f>
        <v>39672674.391999997</v>
      </c>
      <c r="D8" s="432">
        <f>SUM(D7:D7)</f>
        <v>12165427.123363283</v>
      </c>
      <c r="E8" s="430"/>
      <c r="F8" s="432">
        <f>SUM(F7:F7)</f>
        <v>33044802.533</v>
      </c>
      <c r="G8" s="432">
        <f>+F8/$F$3</f>
        <v>10024512.356813492</v>
      </c>
      <c r="H8" s="430"/>
      <c r="I8" s="430"/>
      <c r="J8" s="432">
        <f t="shared" ref="J8:K21" si="1">C8-F8</f>
        <v>6627871.8589999974</v>
      </c>
      <c r="K8" s="432">
        <f t="shared" si="1"/>
        <v>2140914.7665497903</v>
      </c>
      <c r="L8" s="445">
        <f t="shared" si="0"/>
        <v>0.21356797122352256</v>
      </c>
      <c r="M8" s="455"/>
      <c r="Q8" s="1019"/>
    </row>
    <row r="9" spans="1:21" ht="23.1" customHeight="1">
      <c r="B9" s="447" t="s">
        <v>572</v>
      </c>
      <c r="C9" s="431">
        <f>Feuil1!C10</f>
        <v>-34494670.881000005</v>
      </c>
      <c r="D9" s="431">
        <f>+C9/$C$3</f>
        <v>-10577618.251816873</v>
      </c>
      <c r="E9" s="435">
        <f>+D9/$D$8</f>
        <v>-0.86948186401963001</v>
      </c>
      <c r="F9" s="431">
        <f>+Feuil1!D10</f>
        <v>-29258377.162</v>
      </c>
      <c r="G9" s="431">
        <f>+F9/$F$3</f>
        <v>-8875857.6513772588</v>
      </c>
      <c r="H9" s="435">
        <f t="shared" ref="H9:H21" si="2">+G9/$G$8</f>
        <v>-0.88541540330832036</v>
      </c>
      <c r="I9" s="430"/>
      <c r="J9" s="431">
        <f t="shared" si="1"/>
        <v>-5236293.7190000042</v>
      </c>
      <c r="K9" s="431">
        <f t="shared" si="1"/>
        <v>-1701760.6004396137</v>
      </c>
      <c r="L9" s="435">
        <f>-K9/G9</f>
        <v>-0.19172914520272338</v>
      </c>
      <c r="M9" s="455"/>
      <c r="O9" s="958">
        <f>+E10</f>
        <v>0.13051813598036996</v>
      </c>
    </row>
    <row r="10" spans="1:21" ht="60" customHeight="1">
      <c r="B10" s="1005" t="s">
        <v>574</v>
      </c>
      <c r="C10" s="1001">
        <f>C8+C9</f>
        <v>5178003.5109999925</v>
      </c>
      <c r="D10" s="1001">
        <f>D8+D9</f>
        <v>1587808.87154641</v>
      </c>
      <c r="E10" s="1002">
        <f>+D10/$D$8</f>
        <v>0.13051813598036996</v>
      </c>
      <c r="F10" s="1001">
        <f>F8+F9</f>
        <v>3786425.3709999993</v>
      </c>
      <c r="G10" s="1001">
        <f>G8+G9</f>
        <v>1148654.7054362334</v>
      </c>
      <c r="H10" s="1002">
        <f t="shared" si="2"/>
        <v>0.11458459669167968</v>
      </c>
      <c r="I10" s="965"/>
      <c r="J10" s="1001">
        <f t="shared" si="1"/>
        <v>1391578.1399999931</v>
      </c>
      <c r="K10" s="1001">
        <f t="shared" si="1"/>
        <v>439154.16611017659</v>
      </c>
      <c r="L10" s="1002">
        <f t="shared" si="0"/>
        <v>0.3823204345324957</v>
      </c>
      <c r="M10" s="1006"/>
      <c r="N10" s="991"/>
      <c r="O10" s="1003">
        <f>E10-H10+O9</f>
        <v>0.14645167526906022</v>
      </c>
      <c r="P10" s="1004"/>
      <c r="Q10" s="1020">
        <f>+K10</f>
        <v>439154.16611017659</v>
      </c>
      <c r="R10" s="1016" t="s">
        <v>2215</v>
      </c>
      <c r="S10" s="629"/>
      <c r="T10" s="499"/>
    </row>
    <row r="11" spans="1:21" ht="20.100000000000001" customHeight="1">
      <c r="B11" s="1007" t="s">
        <v>578</v>
      </c>
      <c r="C11" s="989">
        <f>Feuil1!C12</f>
        <v>-1276755.9190000002</v>
      </c>
      <c r="D11" s="989">
        <f>+C11/$C$3</f>
        <v>-391510.81506240234</v>
      </c>
      <c r="E11" s="990">
        <f t="shared" ref="E11:E13" si="3">+D11/$D$8</f>
        <v>-3.2182249837370634E-2</v>
      </c>
      <c r="F11" s="989">
        <f>+Feuil1!D12</f>
        <v>-771912.29999999993</v>
      </c>
      <c r="G11" s="989">
        <f>+F11/$F$3</f>
        <v>-234168.27448125224</v>
      </c>
      <c r="H11" s="990">
        <f t="shared" si="2"/>
        <v>-2.3359567642419237E-2</v>
      </c>
      <c r="I11" s="965"/>
      <c r="J11" s="989">
        <f>C11-F11</f>
        <v>-504843.6190000003</v>
      </c>
      <c r="K11" s="989">
        <f t="shared" si="1"/>
        <v>-157342.5405811501</v>
      </c>
      <c r="L11" s="990">
        <f>-K11/G11</f>
        <v>-0.67192082672047493</v>
      </c>
      <c r="M11" s="1006"/>
      <c r="N11" s="1000"/>
      <c r="O11" s="992">
        <f>+E11-H11+O10</f>
        <v>0.13762899307410884</v>
      </c>
      <c r="P11" s="993"/>
      <c r="Q11" s="1021">
        <f>+K11</f>
        <v>-157342.5405811501</v>
      </c>
      <c r="R11" s="1015" t="s">
        <v>2242</v>
      </c>
      <c r="T11" s="498"/>
    </row>
    <row r="12" spans="1:21" ht="20.100000000000001" customHeight="1">
      <c r="B12" s="1007" t="s">
        <v>2018</v>
      </c>
      <c r="C12" s="989">
        <f>+Feuil1!C14</f>
        <v>-187340.41</v>
      </c>
      <c r="D12" s="989">
        <f>+C12/$C$3</f>
        <v>-57446.99947870351</v>
      </c>
      <c r="E12" s="990">
        <f>+D12/$D$8</f>
        <v>-4.7221522841872548E-3</v>
      </c>
      <c r="F12" s="998">
        <f>+Feuil1!D14</f>
        <v>-828323.56</v>
      </c>
      <c r="G12" s="989">
        <f>+F12/$F$3</f>
        <v>-251281.26440965902</v>
      </c>
      <c r="H12" s="999">
        <f t="shared" si="2"/>
        <v>-2.5066682095400618E-2</v>
      </c>
      <c r="I12" s="965"/>
      <c r="J12" s="989">
        <f>C12-F12</f>
        <v>640983.15</v>
      </c>
      <c r="K12" s="989">
        <f>D12-G12</f>
        <v>193834.26493095551</v>
      </c>
      <c r="L12" s="990">
        <f>-K12/G12</f>
        <v>0.77138367393341045</v>
      </c>
      <c r="M12" s="1006"/>
      <c r="N12" s="1000"/>
      <c r="O12" s="992">
        <f>+O11+E12-H12</f>
        <v>0.15797352288532218</v>
      </c>
      <c r="P12" s="991"/>
      <c r="Q12" s="1020">
        <f>+K12</f>
        <v>193834.26493095551</v>
      </c>
      <c r="R12" s="1017" t="s">
        <v>2245</v>
      </c>
      <c r="T12" s="498"/>
      <c r="U12" s="498"/>
    </row>
    <row r="13" spans="1:21" s="502" customFormat="1" ht="110.25" customHeight="1">
      <c r="B13" s="1007" t="s">
        <v>579</v>
      </c>
      <c r="C13" s="989">
        <f>+Feuil1!C15</f>
        <v>-1264260.3000499995</v>
      </c>
      <c r="D13" s="989">
        <f>+C13/$C$3</f>
        <v>-387679.09602588072</v>
      </c>
      <c r="E13" s="990">
        <f t="shared" si="3"/>
        <v>-3.1867281937134485E-2</v>
      </c>
      <c r="F13" s="989">
        <f>+Feuil1!D15</f>
        <v>-963508.4870000002</v>
      </c>
      <c r="G13" s="989">
        <f>+F13/$F$3</f>
        <v>-292291.13184079604</v>
      </c>
      <c r="H13" s="990">
        <f t="shared" si="2"/>
        <v>-2.915764093423763E-2</v>
      </c>
      <c r="I13" s="997"/>
      <c r="J13" s="989">
        <f t="shared" si="1"/>
        <v>-300751.8130499993</v>
      </c>
      <c r="K13" s="989">
        <f t="shared" si="1"/>
        <v>-95387.964185084682</v>
      </c>
      <c r="L13" s="990">
        <f>-K13/G13</f>
        <v>-0.32634573476228562</v>
      </c>
      <c r="M13" s="1012"/>
      <c r="N13" s="1011"/>
      <c r="O13" s="1003">
        <f>+O12+E13-H13</f>
        <v>0.15526388188242535</v>
      </c>
      <c r="P13" s="1011"/>
      <c r="Q13" s="1021">
        <f>K13</f>
        <v>-95387.964185084682</v>
      </c>
      <c r="R13" s="1013" t="s">
        <v>2243</v>
      </c>
      <c r="U13" s="502">
        <v>135</v>
      </c>
    </row>
    <row r="14" spans="1:21" ht="20.100000000000001" customHeight="1">
      <c r="B14" s="1008" t="s">
        <v>595</v>
      </c>
      <c r="C14" s="994">
        <f>SUM(C9:C13)-C10</f>
        <v>-37223027.510049999</v>
      </c>
      <c r="D14" s="994">
        <f>SUM(D9:D13)-D10</f>
        <v>-11414255.162383858</v>
      </c>
      <c r="E14" s="995">
        <f>D14/D8</f>
        <v>-0.93825354807832229</v>
      </c>
      <c r="F14" s="994">
        <f>SUM(F9:F13)-F10</f>
        <v>-31822121.509</v>
      </c>
      <c r="G14" s="994">
        <f>SUM(G9:G13)-G10</f>
        <v>-9653598.3221089654</v>
      </c>
      <c r="H14" s="995">
        <f t="shared" si="2"/>
        <v>-0.96299929398037776</v>
      </c>
      <c r="I14" s="430"/>
      <c r="J14" s="994">
        <f t="shared" si="1"/>
        <v>-5400906.0010499991</v>
      </c>
      <c r="K14" s="994">
        <f>D14-G14</f>
        <v>-1760656.8402748927</v>
      </c>
      <c r="L14" s="996">
        <f>-K14/G14</f>
        <v>-0.18238347831839893</v>
      </c>
      <c r="M14" s="455"/>
      <c r="R14" s="960"/>
      <c r="U14" s="453">
        <v>90</v>
      </c>
    </row>
    <row r="15" spans="1:21" ht="20.100000000000001" customHeight="1">
      <c r="B15" s="1009" t="s">
        <v>5</v>
      </c>
      <c r="C15" s="440">
        <f>+C8+C14</f>
        <v>2449646.8819499984</v>
      </c>
      <c r="D15" s="440">
        <f>+D8+D14</f>
        <v>751171.96097942442</v>
      </c>
      <c r="E15" s="442">
        <f>+D15/D8</f>
        <v>6.1746451921677672E-2</v>
      </c>
      <c r="F15" s="440">
        <f>+F8+F14</f>
        <v>1222681.0240000002</v>
      </c>
      <c r="G15" s="440">
        <f>+F15/$F$3</f>
        <v>370914.03470452619</v>
      </c>
      <c r="H15" s="442">
        <f t="shared" si="2"/>
        <v>3.7000706019622208E-2</v>
      </c>
      <c r="I15" s="430"/>
      <c r="J15" s="440">
        <f t="shared" si="1"/>
        <v>1226965.8579499982</v>
      </c>
      <c r="K15" s="440">
        <f t="shared" si="1"/>
        <v>380257.92627489823</v>
      </c>
      <c r="L15" s="442">
        <f>K15/G15</f>
        <v>1.0251915287535978</v>
      </c>
      <c r="M15" s="455"/>
      <c r="O15" s="958">
        <f>+E15</f>
        <v>6.1746451921677672E-2</v>
      </c>
      <c r="P15" s="963"/>
      <c r="U15" s="453">
        <f>+U13-U14</f>
        <v>45</v>
      </c>
    </row>
    <row r="16" spans="1:21" ht="20.100000000000001" customHeight="1">
      <c r="B16" s="447" t="s">
        <v>580</v>
      </c>
      <c r="C16" s="431">
        <f>+Feuil1!C13</f>
        <v>-172777.60500000001</v>
      </c>
      <c r="D16" s="431">
        <f>+C16/$C$3</f>
        <v>-52981.388181901821</v>
      </c>
      <c r="E16" s="435">
        <f t="shared" ref="E16:E20" si="4">+D16/$D$8</f>
        <v>-4.35507834165172E-3</v>
      </c>
      <c r="F16" s="431">
        <f>+Feuil1!D13</f>
        <v>-158209.361</v>
      </c>
      <c r="G16" s="431">
        <f>+F16/$F$3</f>
        <v>-47994.588338793837</v>
      </c>
      <c r="H16" s="435">
        <f t="shared" si="2"/>
        <v>-4.7877229964380982E-3</v>
      </c>
      <c r="I16" s="430"/>
      <c r="J16" s="431">
        <f t="shared" si="1"/>
        <v>-14568.244000000006</v>
      </c>
      <c r="K16" s="431">
        <f t="shared" si="1"/>
        <v>-4986.7998431079832</v>
      </c>
      <c r="L16" s="435">
        <f>-K16/G16</f>
        <v>-0.10390337777055528</v>
      </c>
      <c r="M16" s="455"/>
      <c r="O16" s="958">
        <f>+E16-H16</f>
        <v>4.3264465478637815E-4</v>
      </c>
      <c r="U16" s="453">
        <f>+U15/DateFin1</f>
        <v>13.799024868909264</v>
      </c>
    </row>
    <row r="17" spans="2:18" ht="23.1" customHeight="1">
      <c r="B17" s="468" t="s">
        <v>528</v>
      </c>
      <c r="C17" s="433">
        <f>C15+C16</f>
        <v>2276869.2769499985</v>
      </c>
      <c r="D17" s="433">
        <f>D15+D16</f>
        <v>698190.57279752265</v>
      </c>
      <c r="E17" s="461">
        <f>+D17/$D$8</f>
        <v>5.7391373580025953E-2</v>
      </c>
      <c r="F17" s="433">
        <f>F15+F16</f>
        <v>1064471.6630000002</v>
      </c>
      <c r="G17" s="433">
        <f>G15+G16</f>
        <v>322919.44636573235</v>
      </c>
      <c r="H17" s="461">
        <f t="shared" si="2"/>
        <v>3.2212983023184108E-2</v>
      </c>
      <c r="I17" s="430"/>
      <c r="J17" s="433">
        <f t="shared" si="1"/>
        <v>1212397.6139499983</v>
      </c>
      <c r="K17" s="433">
        <f t="shared" si="1"/>
        <v>375271.1264317903</v>
      </c>
      <c r="L17" s="461">
        <f t="shared" si="0"/>
        <v>1.1621199362727925</v>
      </c>
      <c r="M17" s="455"/>
      <c r="O17" s="958">
        <f>+O15+O16</f>
        <v>6.2179096576464053E-2</v>
      </c>
      <c r="P17" s="499"/>
    </row>
    <row r="18" spans="2:18" ht="45">
      <c r="B18" s="1007" t="s">
        <v>584</v>
      </c>
      <c r="C18" s="989">
        <f>+Feuil1!C21+Feuil1!C22</f>
        <v>-341582.25700000004</v>
      </c>
      <c r="D18" s="989">
        <f>+C18/$C$3</f>
        <v>-104744.49020269237</v>
      </c>
      <c r="E18" s="990">
        <f t="shared" si="4"/>
        <v>-8.6100133715432143E-3</v>
      </c>
      <c r="F18" s="989">
        <f>+Feuil1!D21</f>
        <v>-204066.59599999999</v>
      </c>
      <c r="G18" s="989">
        <f t="shared" ref="G18:G20" si="5">+F18/$F$3</f>
        <v>-61905.896129110537</v>
      </c>
      <c r="H18" s="990">
        <f t="shared" si="2"/>
        <v>-6.1754521243154673E-3</v>
      </c>
      <c r="I18" s="965"/>
      <c r="J18" s="989">
        <f t="shared" si="1"/>
        <v>-137515.66100000005</v>
      </c>
      <c r="K18" s="989">
        <f t="shared" si="1"/>
        <v>-42838.594073581829</v>
      </c>
      <c r="L18" s="990">
        <f>-K18/G18</f>
        <v>-0.69199537931310995</v>
      </c>
      <c r="M18" s="1006"/>
      <c r="N18" s="991"/>
      <c r="O18" s="992">
        <f>+E18-H18</f>
        <v>-2.434561247227747E-3</v>
      </c>
      <c r="P18" s="993"/>
      <c r="Q18" s="1021">
        <f>+K18</f>
        <v>-42838.594073581829</v>
      </c>
      <c r="R18" s="1014" t="s">
        <v>2216</v>
      </c>
    </row>
    <row r="19" spans="2:18" ht="20.100000000000001" customHeight="1">
      <c r="B19" s="447" t="s">
        <v>585</v>
      </c>
      <c r="C19" s="431">
        <f>+Feuil1!C23</f>
        <v>38230.381999999998</v>
      </c>
      <c r="D19" s="431">
        <f>+C19/$C$3</f>
        <v>11723.155377020024</v>
      </c>
      <c r="E19" s="435">
        <f t="shared" si="4"/>
        <v>9.6364519372329387E-4</v>
      </c>
      <c r="F19" s="431">
        <f>+Feuil1!D23</f>
        <v>33893.792000000001</v>
      </c>
      <c r="G19" s="431">
        <f t="shared" si="5"/>
        <v>10282.06285644946</v>
      </c>
      <c r="H19" s="435">
        <f t="shared" si="2"/>
        <v>1.0256920726384178E-3</v>
      </c>
      <c r="I19" s="430"/>
      <c r="J19" s="431">
        <f t="shared" si="1"/>
        <v>4336.5899999999965</v>
      </c>
      <c r="K19" s="431">
        <f t="shared" si="1"/>
        <v>1441.0925205705644</v>
      </c>
      <c r="L19" s="435">
        <f>-K19/G19</f>
        <v>-0.14015597265743557</v>
      </c>
      <c r="M19" s="455"/>
      <c r="O19" s="958">
        <f t="shared" ref="O19:O20" si="6">+E19-H19</f>
        <v>-6.2046878915123903E-5</v>
      </c>
    </row>
    <row r="20" spans="2:18" ht="20.100000000000001" customHeight="1">
      <c r="B20" s="447" t="s">
        <v>586</v>
      </c>
      <c r="C20" s="431">
        <f>+Feuil1!C24</f>
        <v>-818.08699999999999</v>
      </c>
      <c r="D20" s="431">
        <f>+C20/$C$3</f>
        <v>-250.8622857318083</v>
      </c>
      <c r="E20" s="435">
        <f t="shared" si="4"/>
        <v>-2.0620918870167406E-5</v>
      </c>
      <c r="F20" s="431">
        <f>+Feuil1!D24</f>
        <v>-22812.038</v>
      </c>
      <c r="G20" s="431">
        <f t="shared" si="5"/>
        <v>-6920.2881931804386</v>
      </c>
      <c r="H20" s="435">
        <f t="shared" si="2"/>
        <v>-6.9033664151023117E-4</v>
      </c>
      <c r="I20" s="430"/>
      <c r="J20" s="431">
        <f t="shared" si="1"/>
        <v>21993.951000000001</v>
      </c>
      <c r="K20" s="431">
        <f t="shared" si="1"/>
        <v>6669.4259074486299</v>
      </c>
      <c r="L20" s="435">
        <f>-K20/G20</f>
        <v>0.96374973429877975</v>
      </c>
      <c r="M20" s="455"/>
      <c r="N20" s="630"/>
      <c r="O20" s="958">
        <f t="shared" si="6"/>
        <v>6.6971572264006376E-4</v>
      </c>
    </row>
    <row r="21" spans="2:18" ht="26.25" customHeight="1">
      <c r="B21" s="468" t="s">
        <v>529</v>
      </c>
      <c r="C21" s="433">
        <f>C17+C18+C19+C20</f>
        <v>1972699.3149499984</v>
      </c>
      <c r="D21" s="433">
        <f>D17+D18+D19+D20</f>
        <v>604918.3756861185</v>
      </c>
      <c r="E21" s="461">
        <f>+D21/$D$8</f>
        <v>4.9724384483335868E-2</v>
      </c>
      <c r="F21" s="433">
        <f>F17+F18+F19+F20</f>
        <v>871486.82100000023</v>
      </c>
      <c r="G21" s="433">
        <f>G17+G18+G19+G20</f>
        <v>264375.32489989081</v>
      </c>
      <c r="H21" s="461">
        <f t="shared" si="2"/>
        <v>2.6372886329996827E-2</v>
      </c>
      <c r="I21" s="430"/>
      <c r="J21" s="433">
        <f t="shared" si="1"/>
        <v>1101212.4939499982</v>
      </c>
      <c r="K21" s="433">
        <f t="shared" si="1"/>
        <v>340543.05078622769</v>
      </c>
      <c r="L21" s="461">
        <f t="shared" si="0"/>
        <v>1.2881045192669882</v>
      </c>
      <c r="M21" s="455"/>
      <c r="O21" s="443">
        <f>+O17+O18+O19+O20</f>
        <v>6.0352204172961249E-2</v>
      </c>
      <c r="P21" s="595"/>
      <c r="Q21" s="1022"/>
      <c r="R21" s="950"/>
    </row>
    <row r="22" spans="2:18" ht="15.75" thickBot="1">
      <c r="B22" s="470"/>
      <c r="C22" s="471"/>
      <c r="D22" s="471"/>
      <c r="E22" s="471"/>
      <c r="F22" s="1010"/>
      <c r="G22" s="1010"/>
      <c r="H22" s="471"/>
      <c r="I22" s="471"/>
      <c r="J22" s="471"/>
      <c r="K22" s="471"/>
      <c r="L22" s="471"/>
      <c r="M22" s="473"/>
      <c r="O22" s="962"/>
      <c r="P22" s="635"/>
    </row>
    <row r="24" spans="2:18">
      <c r="D24" s="497">
        <f>D9/D7</f>
        <v>-0.86948186401963001</v>
      </c>
      <c r="G24" s="497">
        <f>G9/G7</f>
        <v>-0.88541540330832036</v>
      </c>
      <c r="L24" s="499">
        <f>D24-G24</f>
        <v>1.5933539288690346E-2</v>
      </c>
    </row>
  </sheetData>
  <mergeCells count="7">
    <mergeCell ref="O3:R3"/>
    <mergeCell ref="J5:L5"/>
    <mergeCell ref="B5:B6"/>
    <mergeCell ref="C5:D5"/>
    <mergeCell ref="E5:E6"/>
    <mergeCell ref="F5:G5"/>
    <mergeCell ref="H5:H6"/>
  </mergeCells>
  <pageMargins left="0.78740157480314965" right="0.78740157480314965" top="0.86614173228346458" bottom="0.98425196850393704" header="0.51181102362204722" footer="0.51181102362204722"/>
  <pageSetup paperSize="9" scale="98" orientation="portrait" verticalDpi="180"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AD7BEE-AB2A-4B92-BE84-21704696D87F}">
  <dimension ref="A1:AH45"/>
  <sheetViews>
    <sheetView showGridLines="0" topLeftCell="C1" zoomScale="80" zoomScaleNormal="80" workbookViewId="0">
      <pane ySplit="6" topLeftCell="A15" activePane="bottomLeft" state="frozen"/>
      <selection activeCell="C47" sqref="C47"/>
      <selection pane="bottomLeft" activeCell="C47" sqref="C47"/>
    </sheetView>
  </sheetViews>
  <sheetFormatPr baseColWidth="10" defaultColWidth="9.375" defaultRowHeight="15"/>
  <cols>
    <col min="1" max="2" width="4.625" style="766" customWidth="1"/>
    <col min="3" max="3" width="21.375" style="766" bestFit="1" customWidth="1"/>
    <col min="4" max="4" width="4.625" style="766" customWidth="1"/>
    <col min="5" max="5" width="10.125" style="766" bestFit="1" customWidth="1"/>
    <col min="6" max="6" width="12" style="766" bestFit="1" customWidth="1"/>
    <col min="7" max="7" width="4.125" style="766" customWidth="1"/>
    <col min="8" max="8" width="29.25" style="766" bestFit="1" customWidth="1"/>
    <col min="9" max="10" width="10.75" style="1035" bestFit="1" customWidth="1"/>
    <col min="11" max="11" width="8.625" style="1036" bestFit="1" customWidth="1"/>
    <col min="12" max="12" width="10.75" style="1035" bestFit="1" customWidth="1"/>
    <col min="13" max="13" width="10.75" style="1037" bestFit="1" customWidth="1"/>
    <col min="14" max="14" width="8.625" style="1038" bestFit="1" customWidth="1"/>
    <col min="15" max="15" width="2.25" style="766" customWidth="1"/>
    <col min="16" max="17" width="9.875" style="766" bestFit="1" customWidth="1"/>
    <col min="18" max="18" width="7.625" style="766" bestFit="1" customWidth="1"/>
    <col min="19" max="19" width="3.125" style="766" customWidth="1"/>
    <col min="20" max="20" width="2.875" style="766" customWidth="1"/>
    <col min="21" max="21" width="6.75" style="1039" customWidth="1"/>
    <col min="22" max="22" width="3" style="1039" customWidth="1"/>
    <col min="23" max="23" width="8.625" style="1039" bestFit="1" customWidth="1"/>
    <col min="24" max="24" width="83" style="766" customWidth="1"/>
    <col min="25" max="26" width="7.625" style="766" bestFit="1" customWidth="1"/>
    <col min="27" max="27" width="7" style="766" bestFit="1" customWidth="1"/>
    <col min="28" max="29" width="12" style="766" bestFit="1" customWidth="1"/>
    <col min="30" max="30" width="9.375" style="766"/>
    <col min="31" max="31" width="12" style="766" bestFit="1" customWidth="1"/>
    <col min="32" max="33" width="11.75" style="766" bestFit="1" customWidth="1"/>
    <col min="34" max="34" width="7.125" style="766" bestFit="1" customWidth="1"/>
    <col min="35" max="272" width="9.375" style="766"/>
    <col min="273" max="273" width="1.5" style="766" customWidth="1"/>
    <col min="274" max="274" width="56.625" style="766" bestFit="1" customWidth="1"/>
    <col min="275" max="275" width="5.375" style="766" customWidth="1"/>
    <col min="276" max="276" width="17" style="766" bestFit="1" customWidth="1"/>
    <col min="277" max="277" width="16.875" style="766" customWidth="1"/>
    <col min="278" max="278" width="6" style="766" bestFit="1" customWidth="1"/>
    <col min="279" max="279" width="11.125" style="766" bestFit="1" customWidth="1"/>
    <col min="280" max="280" width="16.875" style="766" customWidth="1"/>
    <col min="281" max="281" width="6" style="766" bestFit="1" customWidth="1"/>
    <col min="282" max="283" width="9.375" style="766"/>
    <col min="284" max="285" width="13.125" style="766" bestFit="1" customWidth="1"/>
    <col min="286" max="286" width="9.375" style="766"/>
    <col min="287" max="287" width="15.875" style="766" bestFit="1" customWidth="1"/>
    <col min="288" max="290" width="10.875" style="766" bestFit="1" customWidth="1"/>
    <col min="291" max="528" width="9.375" style="766"/>
    <col min="529" max="529" width="1.5" style="766" customWidth="1"/>
    <col min="530" max="530" width="56.625" style="766" bestFit="1" customWidth="1"/>
    <col min="531" max="531" width="5.375" style="766" customWidth="1"/>
    <col min="532" max="532" width="17" style="766" bestFit="1" customWidth="1"/>
    <col min="533" max="533" width="16.875" style="766" customWidth="1"/>
    <col min="534" max="534" width="6" style="766" bestFit="1" customWidth="1"/>
    <col min="535" max="535" width="11.125" style="766" bestFit="1" customWidth="1"/>
    <col min="536" max="536" width="16.875" style="766" customWidth="1"/>
    <col min="537" max="537" width="6" style="766" bestFit="1" customWidth="1"/>
    <col min="538" max="539" width="9.375" style="766"/>
    <col min="540" max="541" width="13.125" style="766" bestFit="1" customWidth="1"/>
    <col min="542" max="542" width="9.375" style="766"/>
    <col min="543" max="543" width="15.875" style="766" bestFit="1" customWidth="1"/>
    <col min="544" max="546" width="10.875" style="766" bestFit="1" customWidth="1"/>
    <col min="547" max="784" width="9.375" style="766"/>
    <col min="785" max="785" width="1.5" style="766" customWidth="1"/>
    <col min="786" max="786" width="56.625" style="766" bestFit="1" customWidth="1"/>
    <col min="787" max="787" width="5.375" style="766" customWidth="1"/>
    <col min="788" max="788" width="17" style="766" bestFit="1" customWidth="1"/>
    <col min="789" max="789" width="16.875" style="766" customWidth="1"/>
    <col min="790" max="790" width="6" style="766" bestFit="1" customWidth="1"/>
    <col min="791" max="791" width="11.125" style="766" bestFit="1" customWidth="1"/>
    <col min="792" max="792" width="16.875" style="766" customWidth="1"/>
    <col min="793" max="793" width="6" style="766" bestFit="1" customWidth="1"/>
    <col min="794" max="795" width="9.375" style="766"/>
    <col min="796" max="797" width="13.125" style="766" bestFit="1" customWidth="1"/>
    <col min="798" max="798" width="9.375" style="766"/>
    <col min="799" max="799" width="15.875" style="766" bestFit="1" customWidth="1"/>
    <col min="800" max="802" width="10.875" style="766" bestFit="1" customWidth="1"/>
    <col min="803" max="1040" width="9.375" style="766"/>
    <col min="1041" max="1041" width="1.5" style="766" customWidth="1"/>
    <col min="1042" max="1042" width="56.625" style="766" bestFit="1" customWidth="1"/>
    <col min="1043" max="1043" width="5.375" style="766" customWidth="1"/>
    <col min="1044" max="1044" width="17" style="766" bestFit="1" customWidth="1"/>
    <col min="1045" max="1045" width="16.875" style="766" customWidth="1"/>
    <col min="1046" max="1046" width="6" style="766" bestFit="1" customWidth="1"/>
    <col min="1047" max="1047" width="11.125" style="766" bestFit="1" customWidth="1"/>
    <col min="1048" max="1048" width="16.875" style="766" customWidth="1"/>
    <col min="1049" max="1049" width="6" style="766" bestFit="1" customWidth="1"/>
    <col min="1050" max="1051" width="9.375" style="766"/>
    <col min="1052" max="1053" width="13.125" style="766" bestFit="1" customWidth="1"/>
    <col min="1054" max="1054" width="9.375" style="766"/>
    <col min="1055" max="1055" width="15.875" style="766" bestFit="1" customWidth="1"/>
    <col min="1056" max="1058" width="10.875" style="766" bestFit="1" customWidth="1"/>
    <col min="1059" max="1296" width="9.375" style="766"/>
    <col min="1297" max="1297" width="1.5" style="766" customWidth="1"/>
    <col min="1298" max="1298" width="56.625" style="766" bestFit="1" customWidth="1"/>
    <col min="1299" max="1299" width="5.375" style="766" customWidth="1"/>
    <col min="1300" max="1300" width="17" style="766" bestFit="1" customWidth="1"/>
    <col min="1301" max="1301" width="16.875" style="766" customWidth="1"/>
    <col min="1302" max="1302" width="6" style="766" bestFit="1" customWidth="1"/>
    <col min="1303" max="1303" width="11.125" style="766" bestFit="1" customWidth="1"/>
    <col min="1304" max="1304" width="16.875" style="766" customWidth="1"/>
    <col min="1305" max="1305" width="6" style="766" bestFit="1" customWidth="1"/>
    <col min="1306" max="1307" width="9.375" style="766"/>
    <col min="1308" max="1309" width="13.125" style="766" bestFit="1" customWidth="1"/>
    <col min="1310" max="1310" width="9.375" style="766"/>
    <col min="1311" max="1311" width="15.875" style="766" bestFit="1" customWidth="1"/>
    <col min="1312" max="1314" width="10.875" style="766" bestFit="1" customWidth="1"/>
    <col min="1315" max="1552" width="9.375" style="766"/>
    <col min="1553" max="1553" width="1.5" style="766" customWidth="1"/>
    <col min="1554" max="1554" width="56.625" style="766" bestFit="1" customWidth="1"/>
    <col min="1555" max="1555" width="5.375" style="766" customWidth="1"/>
    <col min="1556" max="1556" width="17" style="766" bestFit="1" customWidth="1"/>
    <col min="1557" max="1557" width="16.875" style="766" customWidth="1"/>
    <col min="1558" max="1558" width="6" style="766" bestFit="1" customWidth="1"/>
    <col min="1559" max="1559" width="11.125" style="766" bestFit="1" customWidth="1"/>
    <col min="1560" max="1560" width="16.875" style="766" customWidth="1"/>
    <col min="1561" max="1561" width="6" style="766" bestFit="1" customWidth="1"/>
    <col min="1562" max="1563" width="9.375" style="766"/>
    <col min="1564" max="1565" width="13.125" style="766" bestFit="1" customWidth="1"/>
    <col min="1566" max="1566" width="9.375" style="766"/>
    <col min="1567" max="1567" width="15.875" style="766" bestFit="1" customWidth="1"/>
    <col min="1568" max="1570" width="10.875" style="766" bestFit="1" customWidth="1"/>
    <col min="1571" max="1808" width="9.375" style="766"/>
    <col min="1809" max="1809" width="1.5" style="766" customWidth="1"/>
    <col min="1810" max="1810" width="56.625" style="766" bestFit="1" customWidth="1"/>
    <col min="1811" max="1811" width="5.375" style="766" customWidth="1"/>
    <col min="1812" max="1812" width="17" style="766" bestFit="1" customWidth="1"/>
    <col min="1813" max="1813" width="16.875" style="766" customWidth="1"/>
    <col min="1814" max="1814" width="6" style="766" bestFit="1" customWidth="1"/>
    <col min="1815" max="1815" width="11.125" style="766" bestFit="1" customWidth="1"/>
    <col min="1816" max="1816" width="16.875" style="766" customWidth="1"/>
    <col min="1817" max="1817" width="6" style="766" bestFit="1" customWidth="1"/>
    <col min="1818" max="1819" width="9.375" style="766"/>
    <col min="1820" max="1821" width="13.125" style="766" bestFit="1" customWidth="1"/>
    <col min="1822" max="1822" width="9.375" style="766"/>
    <col min="1823" max="1823" width="15.875" style="766" bestFit="1" customWidth="1"/>
    <col min="1824" max="1826" width="10.875" style="766" bestFit="1" customWidth="1"/>
    <col min="1827" max="2064" width="9.375" style="766"/>
    <col min="2065" max="2065" width="1.5" style="766" customWidth="1"/>
    <col min="2066" max="2066" width="56.625" style="766" bestFit="1" customWidth="1"/>
    <col min="2067" max="2067" width="5.375" style="766" customWidth="1"/>
    <col min="2068" max="2068" width="17" style="766" bestFit="1" customWidth="1"/>
    <col min="2069" max="2069" width="16.875" style="766" customWidth="1"/>
    <col min="2070" max="2070" width="6" style="766" bestFit="1" customWidth="1"/>
    <col min="2071" max="2071" width="11.125" style="766" bestFit="1" customWidth="1"/>
    <col min="2072" max="2072" width="16.875" style="766" customWidth="1"/>
    <col min="2073" max="2073" width="6" style="766" bestFit="1" customWidth="1"/>
    <col min="2074" max="2075" width="9.375" style="766"/>
    <col min="2076" max="2077" width="13.125" style="766" bestFit="1" customWidth="1"/>
    <col min="2078" max="2078" width="9.375" style="766"/>
    <col min="2079" max="2079" width="15.875" style="766" bestFit="1" customWidth="1"/>
    <col min="2080" max="2082" width="10.875" style="766" bestFit="1" customWidth="1"/>
    <col min="2083" max="2320" width="9.375" style="766"/>
    <col min="2321" max="2321" width="1.5" style="766" customWidth="1"/>
    <col min="2322" max="2322" width="56.625" style="766" bestFit="1" customWidth="1"/>
    <col min="2323" max="2323" width="5.375" style="766" customWidth="1"/>
    <col min="2324" max="2324" width="17" style="766" bestFit="1" customWidth="1"/>
    <col min="2325" max="2325" width="16.875" style="766" customWidth="1"/>
    <col min="2326" max="2326" width="6" style="766" bestFit="1" customWidth="1"/>
    <col min="2327" max="2327" width="11.125" style="766" bestFit="1" customWidth="1"/>
    <col min="2328" max="2328" width="16.875" style="766" customWidth="1"/>
    <col min="2329" max="2329" width="6" style="766" bestFit="1" customWidth="1"/>
    <col min="2330" max="2331" width="9.375" style="766"/>
    <col min="2332" max="2333" width="13.125" style="766" bestFit="1" customWidth="1"/>
    <col min="2334" max="2334" width="9.375" style="766"/>
    <col min="2335" max="2335" width="15.875" style="766" bestFit="1" customWidth="1"/>
    <col min="2336" max="2338" width="10.875" style="766" bestFit="1" customWidth="1"/>
    <col min="2339" max="2576" width="9.375" style="766"/>
    <col min="2577" max="2577" width="1.5" style="766" customWidth="1"/>
    <col min="2578" max="2578" width="56.625" style="766" bestFit="1" customWidth="1"/>
    <col min="2579" max="2579" width="5.375" style="766" customWidth="1"/>
    <col min="2580" max="2580" width="17" style="766" bestFit="1" customWidth="1"/>
    <col min="2581" max="2581" width="16.875" style="766" customWidth="1"/>
    <col min="2582" max="2582" width="6" style="766" bestFit="1" customWidth="1"/>
    <col min="2583" max="2583" width="11.125" style="766" bestFit="1" customWidth="1"/>
    <col min="2584" max="2584" width="16.875" style="766" customWidth="1"/>
    <col min="2585" max="2585" width="6" style="766" bestFit="1" customWidth="1"/>
    <col min="2586" max="2587" width="9.375" style="766"/>
    <col min="2588" max="2589" width="13.125" style="766" bestFit="1" customWidth="1"/>
    <col min="2590" max="2590" width="9.375" style="766"/>
    <col min="2591" max="2591" width="15.875" style="766" bestFit="1" customWidth="1"/>
    <col min="2592" max="2594" width="10.875" style="766" bestFit="1" customWidth="1"/>
    <col min="2595" max="2832" width="9.375" style="766"/>
    <col min="2833" max="2833" width="1.5" style="766" customWidth="1"/>
    <col min="2834" max="2834" width="56.625" style="766" bestFit="1" customWidth="1"/>
    <col min="2835" max="2835" width="5.375" style="766" customWidth="1"/>
    <col min="2836" max="2836" width="17" style="766" bestFit="1" customWidth="1"/>
    <col min="2837" max="2837" width="16.875" style="766" customWidth="1"/>
    <col min="2838" max="2838" width="6" style="766" bestFit="1" customWidth="1"/>
    <col min="2839" max="2839" width="11.125" style="766" bestFit="1" customWidth="1"/>
    <col min="2840" max="2840" width="16.875" style="766" customWidth="1"/>
    <col min="2841" max="2841" width="6" style="766" bestFit="1" customWidth="1"/>
    <col min="2842" max="2843" width="9.375" style="766"/>
    <col min="2844" max="2845" width="13.125" style="766" bestFit="1" customWidth="1"/>
    <col min="2846" max="2846" width="9.375" style="766"/>
    <col min="2847" max="2847" width="15.875" style="766" bestFit="1" customWidth="1"/>
    <col min="2848" max="2850" width="10.875" style="766" bestFit="1" customWidth="1"/>
    <col min="2851" max="3088" width="9.375" style="766"/>
    <col min="3089" max="3089" width="1.5" style="766" customWidth="1"/>
    <col min="3090" max="3090" width="56.625" style="766" bestFit="1" customWidth="1"/>
    <col min="3091" max="3091" width="5.375" style="766" customWidth="1"/>
    <col min="3092" max="3092" width="17" style="766" bestFit="1" customWidth="1"/>
    <col min="3093" max="3093" width="16.875" style="766" customWidth="1"/>
    <col min="3094" max="3094" width="6" style="766" bestFit="1" customWidth="1"/>
    <col min="3095" max="3095" width="11.125" style="766" bestFit="1" customWidth="1"/>
    <col min="3096" max="3096" width="16.875" style="766" customWidth="1"/>
    <col min="3097" max="3097" width="6" style="766" bestFit="1" customWidth="1"/>
    <col min="3098" max="3099" width="9.375" style="766"/>
    <col min="3100" max="3101" width="13.125" style="766" bestFit="1" customWidth="1"/>
    <col min="3102" max="3102" width="9.375" style="766"/>
    <col min="3103" max="3103" width="15.875" style="766" bestFit="1" customWidth="1"/>
    <col min="3104" max="3106" width="10.875" style="766" bestFit="1" customWidth="1"/>
    <col min="3107" max="3344" width="9.375" style="766"/>
    <col min="3345" max="3345" width="1.5" style="766" customWidth="1"/>
    <col min="3346" max="3346" width="56.625" style="766" bestFit="1" customWidth="1"/>
    <col min="3347" max="3347" width="5.375" style="766" customWidth="1"/>
    <col min="3348" max="3348" width="17" style="766" bestFit="1" customWidth="1"/>
    <col min="3349" max="3349" width="16.875" style="766" customWidth="1"/>
    <col min="3350" max="3350" width="6" style="766" bestFit="1" customWidth="1"/>
    <col min="3351" max="3351" width="11.125" style="766" bestFit="1" customWidth="1"/>
    <col min="3352" max="3352" width="16.875" style="766" customWidth="1"/>
    <col min="3353" max="3353" width="6" style="766" bestFit="1" customWidth="1"/>
    <col min="3354" max="3355" width="9.375" style="766"/>
    <col min="3356" max="3357" width="13.125" style="766" bestFit="1" customWidth="1"/>
    <col min="3358" max="3358" width="9.375" style="766"/>
    <col min="3359" max="3359" width="15.875" style="766" bestFit="1" customWidth="1"/>
    <col min="3360" max="3362" width="10.875" style="766" bestFit="1" customWidth="1"/>
    <col min="3363" max="3600" width="9.375" style="766"/>
    <col min="3601" max="3601" width="1.5" style="766" customWidth="1"/>
    <col min="3602" max="3602" width="56.625" style="766" bestFit="1" customWidth="1"/>
    <col min="3603" max="3603" width="5.375" style="766" customWidth="1"/>
    <col min="3604" max="3604" width="17" style="766" bestFit="1" customWidth="1"/>
    <col min="3605" max="3605" width="16.875" style="766" customWidth="1"/>
    <col min="3606" max="3606" width="6" style="766" bestFit="1" customWidth="1"/>
    <col min="3607" max="3607" width="11.125" style="766" bestFit="1" customWidth="1"/>
    <col min="3608" max="3608" width="16.875" style="766" customWidth="1"/>
    <col min="3609" max="3609" width="6" style="766" bestFit="1" customWidth="1"/>
    <col min="3610" max="3611" width="9.375" style="766"/>
    <col min="3612" max="3613" width="13.125" style="766" bestFit="1" customWidth="1"/>
    <col min="3614" max="3614" width="9.375" style="766"/>
    <col min="3615" max="3615" width="15.875" style="766" bestFit="1" customWidth="1"/>
    <col min="3616" max="3618" width="10.875" style="766" bestFit="1" customWidth="1"/>
    <col min="3619" max="3856" width="9.375" style="766"/>
    <col min="3857" max="3857" width="1.5" style="766" customWidth="1"/>
    <col min="3858" max="3858" width="56.625" style="766" bestFit="1" customWidth="1"/>
    <col min="3859" max="3859" width="5.375" style="766" customWidth="1"/>
    <col min="3860" max="3860" width="17" style="766" bestFit="1" customWidth="1"/>
    <col min="3861" max="3861" width="16.875" style="766" customWidth="1"/>
    <col min="3862" max="3862" width="6" style="766" bestFit="1" customWidth="1"/>
    <col min="3863" max="3863" width="11.125" style="766" bestFit="1" customWidth="1"/>
    <col min="3864" max="3864" width="16.875" style="766" customWidth="1"/>
    <col min="3865" max="3865" width="6" style="766" bestFit="1" customWidth="1"/>
    <col min="3866" max="3867" width="9.375" style="766"/>
    <col min="3868" max="3869" width="13.125" style="766" bestFit="1" customWidth="1"/>
    <col min="3870" max="3870" width="9.375" style="766"/>
    <col min="3871" max="3871" width="15.875" style="766" bestFit="1" customWidth="1"/>
    <col min="3872" max="3874" width="10.875" style="766" bestFit="1" customWidth="1"/>
    <col min="3875" max="4112" width="9.375" style="766"/>
    <col min="4113" max="4113" width="1.5" style="766" customWidth="1"/>
    <col min="4114" max="4114" width="56.625" style="766" bestFit="1" customWidth="1"/>
    <col min="4115" max="4115" width="5.375" style="766" customWidth="1"/>
    <col min="4116" max="4116" width="17" style="766" bestFit="1" customWidth="1"/>
    <col min="4117" max="4117" width="16.875" style="766" customWidth="1"/>
    <col min="4118" max="4118" width="6" style="766" bestFit="1" customWidth="1"/>
    <col min="4119" max="4119" width="11.125" style="766" bestFit="1" customWidth="1"/>
    <col min="4120" max="4120" width="16.875" style="766" customWidth="1"/>
    <col min="4121" max="4121" width="6" style="766" bestFit="1" customWidth="1"/>
    <col min="4122" max="4123" width="9.375" style="766"/>
    <col min="4124" max="4125" width="13.125" style="766" bestFit="1" customWidth="1"/>
    <col min="4126" max="4126" width="9.375" style="766"/>
    <col min="4127" max="4127" width="15.875" style="766" bestFit="1" customWidth="1"/>
    <col min="4128" max="4130" width="10.875" style="766" bestFit="1" customWidth="1"/>
    <col min="4131" max="4368" width="9.375" style="766"/>
    <col min="4369" max="4369" width="1.5" style="766" customWidth="1"/>
    <col min="4370" max="4370" width="56.625" style="766" bestFit="1" customWidth="1"/>
    <col min="4371" max="4371" width="5.375" style="766" customWidth="1"/>
    <col min="4372" max="4372" width="17" style="766" bestFit="1" customWidth="1"/>
    <col min="4373" max="4373" width="16.875" style="766" customWidth="1"/>
    <col min="4374" max="4374" width="6" style="766" bestFit="1" customWidth="1"/>
    <col min="4375" max="4375" width="11.125" style="766" bestFit="1" customWidth="1"/>
    <col min="4376" max="4376" width="16.875" style="766" customWidth="1"/>
    <col min="4377" max="4377" width="6" style="766" bestFit="1" customWidth="1"/>
    <col min="4378" max="4379" width="9.375" style="766"/>
    <col min="4380" max="4381" width="13.125" style="766" bestFit="1" customWidth="1"/>
    <col min="4382" max="4382" width="9.375" style="766"/>
    <col min="4383" max="4383" width="15.875" style="766" bestFit="1" customWidth="1"/>
    <col min="4384" max="4386" width="10.875" style="766" bestFit="1" customWidth="1"/>
    <col min="4387" max="4624" width="9.375" style="766"/>
    <col min="4625" max="4625" width="1.5" style="766" customWidth="1"/>
    <col min="4626" max="4626" width="56.625" style="766" bestFit="1" customWidth="1"/>
    <col min="4627" max="4627" width="5.375" style="766" customWidth="1"/>
    <col min="4628" max="4628" width="17" style="766" bestFit="1" customWidth="1"/>
    <col min="4629" max="4629" width="16.875" style="766" customWidth="1"/>
    <col min="4630" max="4630" width="6" style="766" bestFit="1" customWidth="1"/>
    <col min="4631" max="4631" width="11.125" style="766" bestFit="1" customWidth="1"/>
    <col min="4632" max="4632" width="16.875" style="766" customWidth="1"/>
    <col min="4633" max="4633" width="6" style="766" bestFit="1" customWidth="1"/>
    <col min="4634" max="4635" width="9.375" style="766"/>
    <col min="4636" max="4637" width="13.125" style="766" bestFit="1" customWidth="1"/>
    <col min="4638" max="4638" width="9.375" style="766"/>
    <col min="4639" max="4639" width="15.875" style="766" bestFit="1" customWidth="1"/>
    <col min="4640" max="4642" width="10.875" style="766" bestFit="1" customWidth="1"/>
    <col min="4643" max="4880" width="9.375" style="766"/>
    <col min="4881" max="4881" width="1.5" style="766" customWidth="1"/>
    <col min="4882" max="4882" width="56.625" style="766" bestFit="1" customWidth="1"/>
    <col min="4883" max="4883" width="5.375" style="766" customWidth="1"/>
    <col min="4884" max="4884" width="17" style="766" bestFit="1" customWidth="1"/>
    <col min="4885" max="4885" width="16.875" style="766" customWidth="1"/>
    <col min="4886" max="4886" width="6" style="766" bestFit="1" customWidth="1"/>
    <col min="4887" max="4887" width="11.125" style="766" bestFit="1" customWidth="1"/>
    <col min="4888" max="4888" width="16.875" style="766" customWidth="1"/>
    <col min="4889" max="4889" width="6" style="766" bestFit="1" customWidth="1"/>
    <col min="4890" max="4891" width="9.375" style="766"/>
    <col min="4892" max="4893" width="13.125" style="766" bestFit="1" customWidth="1"/>
    <col min="4894" max="4894" width="9.375" style="766"/>
    <col min="4895" max="4895" width="15.875" style="766" bestFit="1" customWidth="1"/>
    <col min="4896" max="4898" width="10.875" style="766" bestFit="1" customWidth="1"/>
    <col min="4899" max="5136" width="9.375" style="766"/>
    <col min="5137" max="5137" width="1.5" style="766" customWidth="1"/>
    <col min="5138" max="5138" width="56.625" style="766" bestFit="1" customWidth="1"/>
    <col min="5139" max="5139" width="5.375" style="766" customWidth="1"/>
    <col min="5140" max="5140" width="17" style="766" bestFit="1" customWidth="1"/>
    <col min="5141" max="5141" width="16.875" style="766" customWidth="1"/>
    <col min="5142" max="5142" width="6" style="766" bestFit="1" customWidth="1"/>
    <col min="5143" max="5143" width="11.125" style="766" bestFit="1" customWidth="1"/>
    <col min="5144" max="5144" width="16.875" style="766" customWidth="1"/>
    <col min="5145" max="5145" width="6" style="766" bestFit="1" customWidth="1"/>
    <col min="5146" max="5147" width="9.375" style="766"/>
    <col min="5148" max="5149" width="13.125" style="766" bestFit="1" customWidth="1"/>
    <col min="5150" max="5150" width="9.375" style="766"/>
    <col min="5151" max="5151" width="15.875" style="766" bestFit="1" customWidth="1"/>
    <col min="5152" max="5154" width="10.875" style="766" bestFit="1" customWidth="1"/>
    <col min="5155" max="5392" width="9.375" style="766"/>
    <col min="5393" max="5393" width="1.5" style="766" customWidth="1"/>
    <col min="5394" max="5394" width="56.625" style="766" bestFit="1" customWidth="1"/>
    <col min="5395" max="5395" width="5.375" style="766" customWidth="1"/>
    <col min="5396" max="5396" width="17" style="766" bestFit="1" customWidth="1"/>
    <col min="5397" max="5397" width="16.875" style="766" customWidth="1"/>
    <col min="5398" max="5398" width="6" style="766" bestFit="1" customWidth="1"/>
    <col min="5399" max="5399" width="11.125" style="766" bestFit="1" customWidth="1"/>
    <col min="5400" max="5400" width="16.875" style="766" customWidth="1"/>
    <col min="5401" max="5401" width="6" style="766" bestFit="1" customWidth="1"/>
    <col min="5402" max="5403" width="9.375" style="766"/>
    <col min="5404" max="5405" width="13.125" style="766" bestFit="1" customWidth="1"/>
    <col min="5406" max="5406" width="9.375" style="766"/>
    <col min="5407" max="5407" width="15.875" style="766" bestFit="1" customWidth="1"/>
    <col min="5408" max="5410" width="10.875" style="766" bestFit="1" customWidth="1"/>
    <col min="5411" max="5648" width="9.375" style="766"/>
    <col min="5649" max="5649" width="1.5" style="766" customWidth="1"/>
    <col min="5650" max="5650" width="56.625" style="766" bestFit="1" customWidth="1"/>
    <col min="5651" max="5651" width="5.375" style="766" customWidth="1"/>
    <col min="5652" max="5652" width="17" style="766" bestFit="1" customWidth="1"/>
    <col min="5653" max="5653" width="16.875" style="766" customWidth="1"/>
    <col min="5654" max="5654" width="6" style="766" bestFit="1" customWidth="1"/>
    <col min="5655" max="5655" width="11.125" style="766" bestFit="1" customWidth="1"/>
    <col min="5656" max="5656" width="16.875" style="766" customWidth="1"/>
    <col min="5657" max="5657" width="6" style="766" bestFit="1" customWidth="1"/>
    <col min="5658" max="5659" width="9.375" style="766"/>
    <col min="5660" max="5661" width="13.125" style="766" bestFit="1" customWidth="1"/>
    <col min="5662" max="5662" width="9.375" style="766"/>
    <col min="5663" max="5663" width="15.875" style="766" bestFit="1" customWidth="1"/>
    <col min="5664" max="5666" width="10.875" style="766" bestFit="1" customWidth="1"/>
    <col min="5667" max="5904" width="9.375" style="766"/>
    <col min="5905" max="5905" width="1.5" style="766" customWidth="1"/>
    <col min="5906" max="5906" width="56.625" style="766" bestFit="1" customWidth="1"/>
    <col min="5907" max="5907" width="5.375" style="766" customWidth="1"/>
    <col min="5908" max="5908" width="17" style="766" bestFit="1" customWidth="1"/>
    <col min="5909" max="5909" width="16.875" style="766" customWidth="1"/>
    <col min="5910" max="5910" width="6" style="766" bestFit="1" customWidth="1"/>
    <col min="5911" max="5911" width="11.125" style="766" bestFit="1" customWidth="1"/>
    <col min="5912" max="5912" width="16.875" style="766" customWidth="1"/>
    <col min="5913" max="5913" width="6" style="766" bestFit="1" customWidth="1"/>
    <col min="5914" max="5915" width="9.375" style="766"/>
    <col min="5916" max="5917" width="13.125" style="766" bestFit="1" customWidth="1"/>
    <col min="5918" max="5918" width="9.375" style="766"/>
    <col min="5919" max="5919" width="15.875" style="766" bestFit="1" customWidth="1"/>
    <col min="5920" max="5922" width="10.875" style="766" bestFit="1" customWidth="1"/>
    <col min="5923" max="6160" width="9.375" style="766"/>
    <col min="6161" max="6161" width="1.5" style="766" customWidth="1"/>
    <col min="6162" max="6162" width="56.625" style="766" bestFit="1" customWidth="1"/>
    <col min="6163" max="6163" width="5.375" style="766" customWidth="1"/>
    <col min="6164" max="6164" width="17" style="766" bestFit="1" customWidth="1"/>
    <col min="6165" max="6165" width="16.875" style="766" customWidth="1"/>
    <col min="6166" max="6166" width="6" style="766" bestFit="1" customWidth="1"/>
    <col min="6167" max="6167" width="11.125" style="766" bestFit="1" customWidth="1"/>
    <col min="6168" max="6168" width="16.875" style="766" customWidth="1"/>
    <col min="6169" max="6169" width="6" style="766" bestFit="1" customWidth="1"/>
    <col min="6170" max="6171" width="9.375" style="766"/>
    <col min="6172" max="6173" width="13.125" style="766" bestFit="1" customWidth="1"/>
    <col min="6174" max="6174" width="9.375" style="766"/>
    <col min="6175" max="6175" width="15.875" style="766" bestFit="1" customWidth="1"/>
    <col min="6176" max="6178" width="10.875" style="766" bestFit="1" customWidth="1"/>
    <col min="6179" max="6416" width="9.375" style="766"/>
    <col min="6417" max="6417" width="1.5" style="766" customWidth="1"/>
    <col min="6418" max="6418" width="56.625" style="766" bestFit="1" customWidth="1"/>
    <col min="6419" max="6419" width="5.375" style="766" customWidth="1"/>
    <col min="6420" max="6420" width="17" style="766" bestFit="1" customWidth="1"/>
    <col min="6421" max="6421" width="16.875" style="766" customWidth="1"/>
    <col min="6422" max="6422" width="6" style="766" bestFit="1" customWidth="1"/>
    <col min="6423" max="6423" width="11.125" style="766" bestFit="1" customWidth="1"/>
    <col min="6424" max="6424" width="16.875" style="766" customWidth="1"/>
    <col min="6425" max="6425" width="6" style="766" bestFit="1" customWidth="1"/>
    <col min="6426" max="6427" width="9.375" style="766"/>
    <col min="6428" max="6429" width="13.125" style="766" bestFit="1" customWidth="1"/>
    <col min="6430" max="6430" width="9.375" style="766"/>
    <col min="6431" max="6431" width="15.875" style="766" bestFit="1" customWidth="1"/>
    <col min="6432" max="6434" width="10.875" style="766" bestFit="1" customWidth="1"/>
    <col min="6435" max="6672" width="9.375" style="766"/>
    <col min="6673" max="6673" width="1.5" style="766" customWidth="1"/>
    <col min="6674" max="6674" width="56.625" style="766" bestFit="1" customWidth="1"/>
    <col min="6675" max="6675" width="5.375" style="766" customWidth="1"/>
    <col min="6676" max="6676" width="17" style="766" bestFit="1" customWidth="1"/>
    <col min="6677" max="6677" width="16.875" style="766" customWidth="1"/>
    <col min="6678" max="6678" width="6" style="766" bestFit="1" customWidth="1"/>
    <col min="6679" max="6679" width="11.125" style="766" bestFit="1" customWidth="1"/>
    <col min="6680" max="6680" width="16.875" style="766" customWidth="1"/>
    <col min="6681" max="6681" width="6" style="766" bestFit="1" customWidth="1"/>
    <col min="6682" max="6683" width="9.375" style="766"/>
    <col min="6684" max="6685" width="13.125" style="766" bestFit="1" customWidth="1"/>
    <col min="6686" max="6686" width="9.375" style="766"/>
    <col min="6687" max="6687" width="15.875" style="766" bestFit="1" customWidth="1"/>
    <col min="6688" max="6690" width="10.875" style="766" bestFit="1" customWidth="1"/>
    <col min="6691" max="6928" width="9.375" style="766"/>
    <col min="6929" max="6929" width="1.5" style="766" customWidth="1"/>
    <col min="6930" max="6930" width="56.625" style="766" bestFit="1" customWidth="1"/>
    <col min="6931" max="6931" width="5.375" style="766" customWidth="1"/>
    <col min="6932" max="6932" width="17" style="766" bestFit="1" customWidth="1"/>
    <col min="6933" max="6933" width="16.875" style="766" customWidth="1"/>
    <col min="6934" max="6934" width="6" style="766" bestFit="1" customWidth="1"/>
    <col min="6935" max="6935" width="11.125" style="766" bestFit="1" customWidth="1"/>
    <col min="6936" max="6936" width="16.875" style="766" customWidth="1"/>
    <col min="6937" max="6937" width="6" style="766" bestFit="1" customWidth="1"/>
    <col min="6938" max="6939" width="9.375" style="766"/>
    <col min="6940" max="6941" width="13.125" style="766" bestFit="1" customWidth="1"/>
    <col min="6942" max="6942" width="9.375" style="766"/>
    <col min="6943" max="6943" width="15.875" style="766" bestFit="1" customWidth="1"/>
    <col min="6944" max="6946" width="10.875" style="766" bestFit="1" customWidth="1"/>
    <col min="6947" max="7184" width="9.375" style="766"/>
    <col min="7185" max="7185" width="1.5" style="766" customWidth="1"/>
    <col min="7186" max="7186" width="56.625" style="766" bestFit="1" customWidth="1"/>
    <col min="7187" max="7187" width="5.375" style="766" customWidth="1"/>
    <col min="7188" max="7188" width="17" style="766" bestFit="1" customWidth="1"/>
    <col min="7189" max="7189" width="16.875" style="766" customWidth="1"/>
    <col min="7190" max="7190" width="6" style="766" bestFit="1" customWidth="1"/>
    <col min="7191" max="7191" width="11.125" style="766" bestFit="1" customWidth="1"/>
    <col min="7192" max="7192" width="16.875" style="766" customWidth="1"/>
    <col min="7193" max="7193" width="6" style="766" bestFit="1" customWidth="1"/>
    <col min="7194" max="7195" width="9.375" style="766"/>
    <col min="7196" max="7197" width="13.125" style="766" bestFit="1" customWidth="1"/>
    <col min="7198" max="7198" width="9.375" style="766"/>
    <col min="7199" max="7199" width="15.875" style="766" bestFit="1" customWidth="1"/>
    <col min="7200" max="7202" width="10.875" style="766" bestFit="1" customWidth="1"/>
    <col min="7203" max="7440" width="9.375" style="766"/>
    <col min="7441" max="7441" width="1.5" style="766" customWidth="1"/>
    <col min="7442" max="7442" width="56.625" style="766" bestFit="1" customWidth="1"/>
    <col min="7443" max="7443" width="5.375" style="766" customWidth="1"/>
    <col min="7444" max="7444" width="17" style="766" bestFit="1" customWidth="1"/>
    <col min="7445" max="7445" width="16.875" style="766" customWidth="1"/>
    <col min="7446" max="7446" width="6" style="766" bestFit="1" customWidth="1"/>
    <col min="7447" max="7447" width="11.125" style="766" bestFit="1" customWidth="1"/>
    <col min="7448" max="7448" width="16.875" style="766" customWidth="1"/>
    <col min="7449" max="7449" width="6" style="766" bestFit="1" customWidth="1"/>
    <col min="7450" max="7451" width="9.375" style="766"/>
    <col min="7452" max="7453" width="13.125" style="766" bestFit="1" customWidth="1"/>
    <col min="7454" max="7454" width="9.375" style="766"/>
    <col min="7455" max="7455" width="15.875" style="766" bestFit="1" customWidth="1"/>
    <col min="7456" max="7458" width="10.875" style="766" bestFit="1" customWidth="1"/>
    <col min="7459" max="7696" width="9.375" style="766"/>
    <col min="7697" max="7697" width="1.5" style="766" customWidth="1"/>
    <col min="7698" max="7698" width="56.625" style="766" bestFit="1" customWidth="1"/>
    <col min="7699" max="7699" width="5.375" style="766" customWidth="1"/>
    <col min="7700" max="7700" width="17" style="766" bestFit="1" customWidth="1"/>
    <col min="7701" max="7701" width="16.875" style="766" customWidth="1"/>
    <col min="7702" max="7702" width="6" style="766" bestFit="1" customWidth="1"/>
    <col min="7703" max="7703" width="11.125" style="766" bestFit="1" customWidth="1"/>
    <col min="7704" max="7704" width="16.875" style="766" customWidth="1"/>
    <col min="7705" max="7705" width="6" style="766" bestFit="1" customWidth="1"/>
    <col min="7706" max="7707" width="9.375" style="766"/>
    <col min="7708" max="7709" width="13.125" style="766" bestFit="1" customWidth="1"/>
    <col min="7710" max="7710" width="9.375" style="766"/>
    <col min="7711" max="7711" width="15.875" style="766" bestFit="1" customWidth="1"/>
    <col min="7712" max="7714" width="10.875" style="766" bestFit="1" customWidth="1"/>
    <col min="7715" max="7952" width="9.375" style="766"/>
    <col min="7953" max="7953" width="1.5" style="766" customWidth="1"/>
    <col min="7954" max="7954" width="56.625" style="766" bestFit="1" customWidth="1"/>
    <col min="7955" max="7955" width="5.375" style="766" customWidth="1"/>
    <col min="7956" max="7956" width="17" style="766" bestFit="1" customWidth="1"/>
    <col min="7957" max="7957" width="16.875" style="766" customWidth="1"/>
    <col min="7958" max="7958" width="6" style="766" bestFit="1" customWidth="1"/>
    <col min="7959" max="7959" width="11.125" style="766" bestFit="1" customWidth="1"/>
    <col min="7960" max="7960" width="16.875" style="766" customWidth="1"/>
    <col min="7961" max="7961" width="6" style="766" bestFit="1" customWidth="1"/>
    <col min="7962" max="7963" width="9.375" style="766"/>
    <col min="7964" max="7965" width="13.125" style="766" bestFit="1" customWidth="1"/>
    <col min="7966" max="7966" width="9.375" style="766"/>
    <col min="7967" max="7967" width="15.875" style="766" bestFit="1" customWidth="1"/>
    <col min="7968" max="7970" width="10.875" style="766" bestFit="1" customWidth="1"/>
    <col min="7971" max="8208" width="9.375" style="766"/>
    <col min="8209" max="8209" width="1.5" style="766" customWidth="1"/>
    <col min="8210" max="8210" width="56.625" style="766" bestFit="1" customWidth="1"/>
    <col min="8211" max="8211" width="5.375" style="766" customWidth="1"/>
    <col min="8212" max="8212" width="17" style="766" bestFit="1" customWidth="1"/>
    <col min="8213" max="8213" width="16.875" style="766" customWidth="1"/>
    <col min="8214" max="8214" width="6" style="766" bestFit="1" customWidth="1"/>
    <col min="8215" max="8215" width="11.125" style="766" bestFit="1" customWidth="1"/>
    <col min="8216" max="8216" width="16.875" style="766" customWidth="1"/>
    <col min="8217" max="8217" width="6" style="766" bestFit="1" customWidth="1"/>
    <col min="8218" max="8219" width="9.375" style="766"/>
    <col min="8220" max="8221" width="13.125" style="766" bestFit="1" customWidth="1"/>
    <col min="8222" max="8222" width="9.375" style="766"/>
    <col min="8223" max="8223" width="15.875" style="766" bestFit="1" customWidth="1"/>
    <col min="8224" max="8226" width="10.875" style="766" bestFit="1" customWidth="1"/>
    <col min="8227" max="8464" width="9.375" style="766"/>
    <col min="8465" max="8465" width="1.5" style="766" customWidth="1"/>
    <col min="8466" max="8466" width="56.625" style="766" bestFit="1" customWidth="1"/>
    <col min="8467" max="8467" width="5.375" style="766" customWidth="1"/>
    <col min="8468" max="8468" width="17" style="766" bestFit="1" customWidth="1"/>
    <col min="8469" max="8469" width="16.875" style="766" customWidth="1"/>
    <col min="8470" max="8470" width="6" style="766" bestFit="1" customWidth="1"/>
    <col min="8471" max="8471" width="11.125" style="766" bestFit="1" customWidth="1"/>
    <col min="8472" max="8472" width="16.875" style="766" customWidth="1"/>
    <col min="8473" max="8473" width="6" style="766" bestFit="1" customWidth="1"/>
    <col min="8474" max="8475" width="9.375" style="766"/>
    <col min="8476" max="8477" width="13.125" style="766" bestFit="1" customWidth="1"/>
    <col min="8478" max="8478" width="9.375" style="766"/>
    <col min="8479" max="8479" width="15.875" style="766" bestFit="1" customWidth="1"/>
    <col min="8480" max="8482" width="10.875" style="766" bestFit="1" customWidth="1"/>
    <col min="8483" max="8720" width="9.375" style="766"/>
    <col min="8721" max="8721" width="1.5" style="766" customWidth="1"/>
    <col min="8722" max="8722" width="56.625" style="766" bestFit="1" customWidth="1"/>
    <col min="8723" max="8723" width="5.375" style="766" customWidth="1"/>
    <col min="8724" max="8724" width="17" style="766" bestFit="1" customWidth="1"/>
    <col min="8725" max="8725" width="16.875" style="766" customWidth="1"/>
    <col min="8726" max="8726" width="6" style="766" bestFit="1" customWidth="1"/>
    <col min="8727" max="8727" width="11.125" style="766" bestFit="1" customWidth="1"/>
    <col min="8728" max="8728" width="16.875" style="766" customWidth="1"/>
    <col min="8729" max="8729" width="6" style="766" bestFit="1" customWidth="1"/>
    <col min="8730" max="8731" width="9.375" style="766"/>
    <col min="8732" max="8733" width="13.125" style="766" bestFit="1" customWidth="1"/>
    <col min="8734" max="8734" width="9.375" style="766"/>
    <col min="8735" max="8735" width="15.875" style="766" bestFit="1" customWidth="1"/>
    <col min="8736" max="8738" width="10.875" style="766" bestFit="1" customWidth="1"/>
    <col min="8739" max="8976" width="9.375" style="766"/>
    <col min="8977" max="8977" width="1.5" style="766" customWidth="1"/>
    <col min="8978" max="8978" width="56.625" style="766" bestFit="1" customWidth="1"/>
    <col min="8979" max="8979" width="5.375" style="766" customWidth="1"/>
    <col min="8980" max="8980" width="17" style="766" bestFit="1" customWidth="1"/>
    <col min="8981" max="8981" width="16.875" style="766" customWidth="1"/>
    <col min="8982" max="8982" width="6" style="766" bestFit="1" customWidth="1"/>
    <col min="8983" max="8983" width="11.125" style="766" bestFit="1" customWidth="1"/>
    <col min="8984" max="8984" width="16.875" style="766" customWidth="1"/>
    <col min="8985" max="8985" width="6" style="766" bestFit="1" customWidth="1"/>
    <col min="8986" max="8987" width="9.375" style="766"/>
    <col min="8988" max="8989" width="13.125" style="766" bestFit="1" customWidth="1"/>
    <col min="8990" max="8990" width="9.375" style="766"/>
    <col min="8991" max="8991" width="15.875" style="766" bestFit="1" customWidth="1"/>
    <col min="8992" max="8994" width="10.875" style="766" bestFit="1" customWidth="1"/>
    <col min="8995" max="9232" width="9.375" style="766"/>
    <col min="9233" max="9233" width="1.5" style="766" customWidth="1"/>
    <col min="9234" max="9234" width="56.625" style="766" bestFit="1" customWidth="1"/>
    <col min="9235" max="9235" width="5.375" style="766" customWidth="1"/>
    <col min="9236" max="9236" width="17" style="766" bestFit="1" customWidth="1"/>
    <col min="9237" max="9237" width="16.875" style="766" customWidth="1"/>
    <col min="9238" max="9238" width="6" style="766" bestFit="1" customWidth="1"/>
    <col min="9239" max="9239" width="11.125" style="766" bestFit="1" customWidth="1"/>
    <col min="9240" max="9240" width="16.875" style="766" customWidth="1"/>
    <col min="9241" max="9241" width="6" style="766" bestFit="1" customWidth="1"/>
    <col min="9242" max="9243" width="9.375" style="766"/>
    <col min="9244" max="9245" width="13.125" style="766" bestFit="1" customWidth="1"/>
    <col min="9246" max="9246" width="9.375" style="766"/>
    <col min="9247" max="9247" width="15.875" style="766" bestFit="1" customWidth="1"/>
    <col min="9248" max="9250" width="10.875" style="766" bestFit="1" customWidth="1"/>
    <col min="9251" max="9488" width="9.375" style="766"/>
    <col min="9489" max="9489" width="1.5" style="766" customWidth="1"/>
    <col min="9490" max="9490" width="56.625" style="766" bestFit="1" customWidth="1"/>
    <col min="9491" max="9491" width="5.375" style="766" customWidth="1"/>
    <col min="9492" max="9492" width="17" style="766" bestFit="1" customWidth="1"/>
    <col min="9493" max="9493" width="16.875" style="766" customWidth="1"/>
    <col min="9494" max="9494" width="6" style="766" bestFit="1" customWidth="1"/>
    <col min="9495" max="9495" width="11.125" style="766" bestFit="1" customWidth="1"/>
    <col min="9496" max="9496" width="16.875" style="766" customWidth="1"/>
    <col min="9497" max="9497" width="6" style="766" bestFit="1" customWidth="1"/>
    <col min="9498" max="9499" width="9.375" style="766"/>
    <col min="9500" max="9501" width="13.125" style="766" bestFit="1" customWidth="1"/>
    <col min="9502" max="9502" width="9.375" style="766"/>
    <col min="9503" max="9503" width="15.875" style="766" bestFit="1" customWidth="1"/>
    <col min="9504" max="9506" width="10.875" style="766" bestFit="1" customWidth="1"/>
    <col min="9507" max="9744" width="9.375" style="766"/>
    <col min="9745" max="9745" width="1.5" style="766" customWidth="1"/>
    <col min="9746" max="9746" width="56.625" style="766" bestFit="1" customWidth="1"/>
    <col min="9747" max="9747" width="5.375" style="766" customWidth="1"/>
    <col min="9748" max="9748" width="17" style="766" bestFit="1" customWidth="1"/>
    <col min="9749" max="9749" width="16.875" style="766" customWidth="1"/>
    <col min="9750" max="9750" width="6" style="766" bestFit="1" customWidth="1"/>
    <col min="9751" max="9751" width="11.125" style="766" bestFit="1" customWidth="1"/>
    <col min="9752" max="9752" width="16.875" style="766" customWidth="1"/>
    <col min="9753" max="9753" width="6" style="766" bestFit="1" customWidth="1"/>
    <col min="9754" max="9755" width="9.375" style="766"/>
    <col min="9756" max="9757" width="13.125" style="766" bestFit="1" customWidth="1"/>
    <col min="9758" max="9758" width="9.375" style="766"/>
    <col min="9759" max="9759" width="15.875" style="766" bestFit="1" customWidth="1"/>
    <col min="9760" max="9762" width="10.875" style="766" bestFit="1" customWidth="1"/>
    <col min="9763" max="10000" width="9.375" style="766"/>
    <col min="10001" max="10001" width="1.5" style="766" customWidth="1"/>
    <col min="10002" max="10002" width="56.625" style="766" bestFit="1" customWidth="1"/>
    <col min="10003" max="10003" width="5.375" style="766" customWidth="1"/>
    <col min="10004" max="10004" width="17" style="766" bestFit="1" customWidth="1"/>
    <col min="10005" max="10005" width="16.875" style="766" customWidth="1"/>
    <col min="10006" max="10006" width="6" style="766" bestFit="1" customWidth="1"/>
    <col min="10007" max="10007" width="11.125" style="766" bestFit="1" customWidth="1"/>
    <col min="10008" max="10008" width="16.875" style="766" customWidth="1"/>
    <col min="10009" max="10009" width="6" style="766" bestFit="1" customWidth="1"/>
    <col min="10010" max="10011" width="9.375" style="766"/>
    <col min="10012" max="10013" width="13.125" style="766" bestFit="1" customWidth="1"/>
    <col min="10014" max="10014" width="9.375" style="766"/>
    <col min="10015" max="10015" width="15.875" style="766" bestFit="1" customWidth="1"/>
    <col min="10016" max="10018" width="10.875" style="766" bestFit="1" customWidth="1"/>
    <col min="10019" max="10256" width="9.375" style="766"/>
    <col min="10257" max="10257" width="1.5" style="766" customWidth="1"/>
    <col min="10258" max="10258" width="56.625" style="766" bestFit="1" customWidth="1"/>
    <col min="10259" max="10259" width="5.375" style="766" customWidth="1"/>
    <col min="10260" max="10260" width="17" style="766" bestFit="1" customWidth="1"/>
    <col min="10261" max="10261" width="16.875" style="766" customWidth="1"/>
    <col min="10262" max="10262" width="6" style="766" bestFit="1" customWidth="1"/>
    <col min="10263" max="10263" width="11.125" style="766" bestFit="1" customWidth="1"/>
    <col min="10264" max="10264" width="16.875" style="766" customWidth="1"/>
    <col min="10265" max="10265" width="6" style="766" bestFit="1" customWidth="1"/>
    <col min="10266" max="10267" width="9.375" style="766"/>
    <col min="10268" max="10269" width="13.125" style="766" bestFit="1" customWidth="1"/>
    <col min="10270" max="10270" width="9.375" style="766"/>
    <col min="10271" max="10271" width="15.875" style="766" bestFit="1" customWidth="1"/>
    <col min="10272" max="10274" width="10.875" style="766" bestFit="1" customWidth="1"/>
    <col min="10275" max="10512" width="9.375" style="766"/>
    <col min="10513" max="10513" width="1.5" style="766" customWidth="1"/>
    <col min="10514" max="10514" width="56.625" style="766" bestFit="1" customWidth="1"/>
    <col min="10515" max="10515" width="5.375" style="766" customWidth="1"/>
    <col min="10516" max="10516" width="17" style="766" bestFit="1" customWidth="1"/>
    <col min="10517" max="10517" width="16.875" style="766" customWidth="1"/>
    <col min="10518" max="10518" width="6" style="766" bestFit="1" customWidth="1"/>
    <col min="10519" max="10519" width="11.125" style="766" bestFit="1" customWidth="1"/>
    <col min="10520" max="10520" width="16.875" style="766" customWidth="1"/>
    <col min="10521" max="10521" width="6" style="766" bestFit="1" customWidth="1"/>
    <col min="10522" max="10523" width="9.375" style="766"/>
    <col min="10524" max="10525" width="13.125" style="766" bestFit="1" customWidth="1"/>
    <col min="10526" max="10526" width="9.375" style="766"/>
    <col min="10527" max="10527" width="15.875" style="766" bestFit="1" customWidth="1"/>
    <col min="10528" max="10530" width="10.875" style="766" bestFit="1" customWidth="1"/>
    <col min="10531" max="10768" width="9.375" style="766"/>
    <col min="10769" max="10769" width="1.5" style="766" customWidth="1"/>
    <col min="10770" max="10770" width="56.625" style="766" bestFit="1" customWidth="1"/>
    <col min="10771" max="10771" width="5.375" style="766" customWidth="1"/>
    <col min="10772" max="10772" width="17" style="766" bestFit="1" customWidth="1"/>
    <col min="10773" max="10773" width="16.875" style="766" customWidth="1"/>
    <col min="10774" max="10774" width="6" style="766" bestFit="1" customWidth="1"/>
    <col min="10775" max="10775" width="11.125" style="766" bestFit="1" customWidth="1"/>
    <col min="10776" max="10776" width="16.875" style="766" customWidth="1"/>
    <col min="10777" max="10777" width="6" style="766" bestFit="1" customWidth="1"/>
    <col min="10778" max="10779" width="9.375" style="766"/>
    <col min="10780" max="10781" width="13.125" style="766" bestFit="1" customWidth="1"/>
    <col min="10782" max="10782" width="9.375" style="766"/>
    <col min="10783" max="10783" width="15.875" style="766" bestFit="1" customWidth="1"/>
    <col min="10784" max="10786" width="10.875" style="766" bestFit="1" customWidth="1"/>
    <col min="10787" max="11024" width="9.375" style="766"/>
    <col min="11025" max="11025" width="1.5" style="766" customWidth="1"/>
    <col min="11026" max="11026" width="56.625" style="766" bestFit="1" customWidth="1"/>
    <col min="11027" max="11027" width="5.375" style="766" customWidth="1"/>
    <col min="11028" max="11028" width="17" style="766" bestFit="1" customWidth="1"/>
    <col min="11029" max="11029" width="16.875" style="766" customWidth="1"/>
    <col min="11030" max="11030" width="6" style="766" bestFit="1" customWidth="1"/>
    <col min="11031" max="11031" width="11.125" style="766" bestFit="1" customWidth="1"/>
    <col min="11032" max="11032" width="16.875" style="766" customWidth="1"/>
    <col min="11033" max="11033" width="6" style="766" bestFit="1" customWidth="1"/>
    <col min="11034" max="11035" width="9.375" style="766"/>
    <col min="11036" max="11037" width="13.125" style="766" bestFit="1" customWidth="1"/>
    <col min="11038" max="11038" width="9.375" style="766"/>
    <col min="11039" max="11039" width="15.875" style="766" bestFit="1" customWidth="1"/>
    <col min="11040" max="11042" width="10.875" style="766" bestFit="1" customWidth="1"/>
    <col min="11043" max="11280" width="9.375" style="766"/>
    <col min="11281" max="11281" width="1.5" style="766" customWidth="1"/>
    <col min="11282" max="11282" width="56.625" style="766" bestFit="1" customWidth="1"/>
    <col min="11283" max="11283" width="5.375" style="766" customWidth="1"/>
    <col min="11284" max="11284" width="17" style="766" bestFit="1" customWidth="1"/>
    <col min="11285" max="11285" width="16.875" style="766" customWidth="1"/>
    <col min="11286" max="11286" width="6" style="766" bestFit="1" customWidth="1"/>
    <col min="11287" max="11287" width="11.125" style="766" bestFit="1" customWidth="1"/>
    <col min="11288" max="11288" width="16.875" style="766" customWidth="1"/>
    <col min="11289" max="11289" width="6" style="766" bestFit="1" customWidth="1"/>
    <col min="11290" max="11291" width="9.375" style="766"/>
    <col min="11292" max="11293" width="13.125" style="766" bestFit="1" customWidth="1"/>
    <col min="11294" max="11294" width="9.375" style="766"/>
    <col min="11295" max="11295" width="15.875" style="766" bestFit="1" customWidth="1"/>
    <col min="11296" max="11298" width="10.875" style="766" bestFit="1" customWidth="1"/>
    <col min="11299" max="11536" width="9.375" style="766"/>
    <col min="11537" max="11537" width="1.5" style="766" customWidth="1"/>
    <col min="11538" max="11538" width="56.625" style="766" bestFit="1" customWidth="1"/>
    <col min="11539" max="11539" width="5.375" style="766" customWidth="1"/>
    <col min="11540" max="11540" width="17" style="766" bestFit="1" customWidth="1"/>
    <col min="11541" max="11541" width="16.875" style="766" customWidth="1"/>
    <col min="11542" max="11542" width="6" style="766" bestFit="1" customWidth="1"/>
    <col min="11543" max="11543" width="11.125" style="766" bestFit="1" customWidth="1"/>
    <col min="11544" max="11544" width="16.875" style="766" customWidth="1"/>
    <col min="11545" max="11545" width="6" style="766" bestFit="1" customWidth="1"/>
    <col min="11546" max="11547" width="9.375" style="766"/>
    <col min="11548" max="11549" width="13.125" style="766" bestFit="1" customWidth="1"/>
    <col min="11550" max="11550" width="9.375" style="766"/>
    <col min="11551" max="11551" width="15.875" style="766" bestFit="1" customWidth="1"/>
    <col min="11552" max="11554" width="10.875" style="766" bestFit="1" customWidth="1"/>
    <col min="11555" max="11792" width="9.375" style="766"/>
    <col min="11793" max="11793" width="1.5" style="766" customWidth="1"/>
    <col min="11794" max="11794" width="56.625" style="766" bestFit="1" customWidth="1"/>
    <col min="11795" max="11795" width="5.375" style="766" customWidth="1"/>
    <col min="11796" max="11796" width="17" style="766" bestFit="1" customWidth="1"/>
    <col min="11797" max="11797" width="16.875" style="766" customWidth="1"/>
    <col min="11798" max="11798" width="6" style="766" bestFit="1" customWidth="1"/>
    <col min="11799" max="11799" width="11.125" style="766" bestFit="1" customWidth="1"/>
    <col min="11800" max="11800" width="16.875" style="766" customWidth="1"/>
    <col min="11801" max="11801" width="6" style="766" bestFit="1" customWidth="1"/>
    <col min="11802" max="11803" width="9.375" style="766"/>
    <col min="11804" max="11805" width="13.125" style="766" bestFit="1" customWidth="1"/>
    <col min="11806" max="11806" width="9.375" style="766"/>
    <col min="11807" max="11807" width="15.875" style="766" bestFit="1" customWidth="1"/>
    <col min="11808" max="11810" width="10.875" style="766" bestFit="1" customWidth="1"/>
    <col min="11811" max="12048" width="9.375" style="766"/>
    <col min="12049" max="12049" width="1.5" style="766" customWidth="1"/>
    <col min="12050" max="12050" width="56.625" style="766" bestFit="1" customWidth="1"/>
    <col min="12051" max="12051" width="5.375" style="766" customWidth="1"/>
    <col min="12052" max="12052" width="17" style="766" bestFit="1" customWidth="1"/>
    <col min="12053" max="12053" width="16.875" style="766" customWidth="1"/>
    <col min="12054" max="12054" width="6" style="766" bestFit="1" customWidth="1"/>
    <col min="12055" max="12055" width="11.125" style="766" bestFit="1" customWidth="1"/>
    <col min="12056" max="12056" width="16.875" style="766" customWidth="1"/>
    <col min="12057" max="12057" width="6" style="766" bestFit="1" customWidth="1"/>
    <col min="12058" max="12059" width="9.375" style="766"/>
    <col min="12060" max="12061" width="13.125" style="766" bestFit="1" customWidth="1"/>
    <col min="12062" max="12062" width="9.375" style="766"/>
    <col min="12063" max="12063" width="15.875" style="766" bestFit="1" customWidth="1"/>
    <col min="12064" max="12066" width="10.875" style="766" bestFit="1" customWidth="1"/>
    <col min="12067" max="12304" width="9.375" style="766"/>
    <col min="12305" max="12305" width="1.5" style="766" customWidth="1"/>
    <col min="12306" max="12306" width="56.625" style="766" bestFit="1" customWidth="1"/>
    <col min="12307" max="12307" width="5.375" style="766" customWidth="1"/>
    <col min="12308" max="12308" width="17" style="766" bestFit="1" customWidth="1"/>
    <col min="12309" max="12309" width="16.875" style="766" customWidth="1"/>
    <col min="12310" max="12310" width="6" style="766" bestFit="1" customWidth="1"/>
    <col min="12311" max="12311" width="11.125" style="766" bestFit="1" customWidth="1"/>
    <col min="12312" max="12312" width="16.875" style="766" customWidth="1"/>
    <col min="12313" max="12313" width="6" style="766" bestFit="1" customWidth="1"/>
    <col min="12314" max="12315" width="9.375" style="766"/>
    <col min="12316" max="12317" width="13.125" style="766" bestFit="1" customWidth="1"/>
    <col min="12318" max="12318" width="9.375" style="766"/>
    <col min="12319" max="12319" width="15.875" style="766" bestFit="1" customWidth="1"/>
    <col min="12320" max="12322" width="10.875" style="766" bestFit="1" customWidth="1"/>
    <col min="12323" max="12560" width="9.375" style="766"/>
    <col min="12561" max="12561" width="1.5" style="766" customWidth="1"/>
    <col min="12562" max="12562" width="56.625" style="766" bestFit="1" customWidth="1"/>
    <col min="12563" max="12563" width="5.375" style="766" customWidth="1"/>
    <col min="12564" max="12564" width="17" style="766" bestFit="1" customWidth="1"/>
    <col min="12565" max="12565" width="16.875" style="766" customWidth="1"/>
    <col min="12566" max="12566" width="6" style="766" bestFit="1" customWidth="1"/>
    <col min="12567" max="12567" width="11.125" style="766" bestFit="1" customWidth="1"/>
    <col min="12568" max="12568" width="16.875" style="766" customWidth="1"/>
    <col min="12569" max="12569" width="6" style="766" bestFit="1" customWidth="1"/>
    <col min="12570" max="12571" width="9.375" style="766"/>
    <col min="12572" max="12573" width="13.125" style="766" bestFit="1" customWidth="1"/>
    <col min="12574" max="12574" width="9.375" style="766"/>
    <col min="12575" max="12575" width="15.875" style="766" bestFit="1" customWidth="1"/>
    <col min="12576" max="12578" width="10.875" style="766" bestFit="1" customWidth="1"/>
    <col min="12579" max="12816" width="9.375" style="766"/>
    <col min="12817" max="12817" width="1.5" style="766" customWidth="1"/>
    <col min="12818" max="12818" width="56.625" style="766" bestFit="1" customWidth="1"/>
    <col min="12819" max="12819" width="5.375" style="766" customWidth="1"/>
    <col min="12820" max="12820" width="17" style="766" bestFit="1" customWidth="1"/>
    <col min="12821" max="12821" width="16.875" style="766" customWidth="1"/>
    <col min="12822" max="12822" width="6" style="766" bestFit="1" customWidth="1"/>
    <col min="12823" max="12823" width="11.125" style="766" bestFit="1" customWidth="1"/>
    <col min="12824" max="12824" width="16.875" style="766" customWidth="1"/>
    <col min="12825" max="12825" width="6" style="766" bestFit="1" customWidth="1"/>
    <col min="12826" max="12827" width="9.375" style="766"/>
    <col min="12828" max="12829" width="13.125" style="766" bestFit="1" customWidth="1"/>
    <col min="12830" max="12830" width="9.375" style="766"/>
    <col min="12831" max="12831" width="15.875" style="766" bestFit="1" customWidth="1"/>
    <col min="12832" max="12834" width="10.875" style="766" bestFit="1" customWidth="1"/>
    <col min="12835" max="13072" width="9.375" style="766"/>
    <col min="13073" max="13073" width="1.5" style="766" customWidth="1"/>
    <col min="13074" max="13074" width="56.625" style="766" bestFit="1" customWidth="1"/>
    <col min="13075" max="13075" width="5.375" style="766" customWidth="1"/>
    <col min="13076" max="13076" width="17" style="766" bestFit="1" customWidth="1"/>
    <col min="13077" max="13077" width="16.875" style="766" customWidth="1"/>
    <col min="13078" max="13078" width="6" style="766" bestFit="1" customWidth="1"/>
    <col min="13079" max="13079" width="11.125" style="766" bestFit="1" customWidth="1"/>
    <col min="13080" max="13080" width="16.875" style="766" customWidth="1"/>
    <col min="13081" max="13081" width="6" style="766" bestFit="1" customWidth="1"/>
    <col min="13082" max="13083" width="9.375" style="766"/>
    <col min="13084" max="13085" width="13.125" style="766" bestFit="1" customWidth="1"/>
    <col min="13086" max="13086" width="9.375" style="766"/>
    <col min="13087" max="13087" width="15.875" style="766" bestFit="1" customWidth="1"/>
    <col min="13088" max="13090" width="10.875" style="766" bestFit="1" customWidth="1"/>
    <col min="13091" max="13328" width="9.375" style="766"/>
    <col min="13329" max="13329" width="1.5" style="766" customWidth="1"/>
    <col min="13330" max="13330" width="56.625" style="766" bestFit="1" customWidth="1"/>
    <col min="13331" max="13331" width="5.375" style="766" customWidth="1"/>
    <col min="13332" max="13332" width="17" style="766" bestFit="1" customWidth="1"/>
    <col min="13333" max="13333" width="16.875" style="766" customWidth="1"/>
    <col min="13334" max="13334" width="6" style="766" bestFit="1" customWidth="1"/>
    <col min="13335" max="13335" width="11.125" style="766" bestFit="1" customWidth="1"/>
    <col min="13336" max="13336" width="16.875" style="766" customWidth="1"/>
    <col min="13337" max="13337" width="6" style="766" bestFit="1" customWidth="1"/>
    <col min="13338" max="13339" width="9.375" style="766"/>
    <col min="13340" max="13341" width="13.125" style="766" bestFit="1" customWidth="1"/>
    <col min="13342" max="13342" width="9.375" style="766"/>
    <col min="13343" max="13343" width="15.875" style="766" bestFit="1" customWidth="1"/>
    <col min="13344" max="13346" width="10.875" style="766" bestFit="1" customWidth="1"/>
    <col min="13347" max="13584" width="9.375" style="766"/>
    <col min="13585" max="13585" width="1.5" style="766" customWidth="1"/>
    <col min="13586" max="13586" width="56.625" style="766" bestFit="1" customWidth="1"/>
    <col min="13587" max="13587" width="5.375" style="766" customWidth="1"/>
    <col min="13588" max="13588" width="17" style="766" bestFit="1" customWidth="1"/>
    <col min="13589" max="13589" width="16.875" style="766" customWidth="1"/>
    <col min="13590" max="13590" width="6" style="766" bestFit="1" customWidth="1"/>
    <col min="13591" max="13591" width="11.125" style="766" bestFit="1" customWidth="1"/>
    <col min="13592" max="13592" width="16.875" style="766" customWidth="1"/>
    <col min="13593" max="13593" width="6" style="766" bestFit="1" customWidth="1"/>
    <col min="13594" max="13595" width="9.375" style="766"/>
    <col min="13596" max="13597" width="13.125" style="766" bestFit="1" customWidth="1"/>
    <col min="13598" max="13598" width="9.375" style="766"/>
    <col min="13599" max="13599" width="15.875" style="766" bestFit="1" customWidth="1"/>
    <col min="13600" max="13602" width="10.875" style="766" bestFit="1" customWidth="1"/>
    <col min="13603" max="13840" width="9.375" style="766"/>
    <col min="13841" max="13841" width="1.5" style="766" customWidth="1"/>
    <col min="13842" max="13842" width="56.625" style="766" bestFit="1" customWidth="1"/>
    <col min="13843" max="13843" width="5.375" style="766" customWidth="1"/>
    <col min="13844" max="13844" width="17" style="766" bestFit="1" customWidth="1"/>
    <col min="13845" max="13845" width="16.875" style="766" customWidth="1"/>
    <col min="13846" max="13846" width="6" style="766" bestFit="1" customWidth="1"/>
    <col min="13847" max="13847" width="11.125" style="766" bestFit="1" customWidth="1"/>
    <col min="13848" max="13848" width="16.875" style="766" customWidth="1"/>
    <col min="13849" max="13849" width="6" style="766" bestFit="1" customWidth="1"/>
    <col min="13850" max="13851" width="9.375" style="766"/>
    <col min="13852" max="13853" width="13.125" style="766" bestFit="1" customWidth="1"/>
    <col min="13854" max="13854" width="9.375" style="766"/>
    <col min="13855" max="13855" width="15.875" style="766" bestFit="1" customWidth="1"/>
    <col min="13856" max="13858" width="10.875" style="766" bestFit="1" customWidth="1"/>
    <col min="13859" max="14096" width="9.375" style="766"/>
    <col min="14097" max="14097" width="1.5" style="766" customWidth="1"/>
    <col min="14098" max="14098" width="56.625" style="766" bestFit="1" customWidth="1"/>
    <col min="14099" max="14099" width="5.375" style="766" customWidth="1"/>
    <col min="14100" max="14100" width="17" style="766" bestFit="1" customWidth="1"/>
    <col min="14101" max="14101" width="16.875" style="766" customWidth="1"/>
    <col min="14102" max="14102" width="6" style="766" bestFit="1" customWidth="1"/>
    <col min="14103" max="14103" width="11.125" style="766" bestFit="1" customWidth="1"/>
    <col min="14104" max="14104" width="16.875" style="766" customWidth="1"/>
    <col min="14105" max="14105" width="6" style="766" bestFit="1" customWidth="1"/>
    <col min="14106" max="14107" width="9.375" style="766"/>
    <col min="14108" max="14109" width="13.125" style="766" bestFit="1" customWidth="1"/>
    <col min="14110" max="14110" width="9.375" style="766"/>
    <col min="14111" max="14111" width="15.875" style="766" bestFit="1" customWidth="1"/>
    <col min="14112" max="14114" width="10.875" style="766" bestFit="1" customWidth="1"/>
    <col min="14115" max="14352" width="9.375" style="766"/>
    <col min="14353" max="14353" width="1.5" style="766" customWidth="1"/>
    <col min="14354" max="14354" width="56.625" style="766" bestFit="1" customWidth="1"/>
    <col min="14355" max="14355" width="5.375" style="766" customWidth="1"/>
    <col min="14356" max="14356" width="17" style="766" bestFit="1" customWidth="1"/>
    <col min="14357" max="14357" width="16.875" style="766" customWidth="1"/>
    <col min="14358" max="14358" width="6" style="766" bestFit="1" customWidth="1"/>
    <col min="14359" max="14359" width="11.125" style="766" bestFit="1" customWidth="1"/>
    <col min="14360" max="14360" width="16.875" style="766" customWidth="1"/>
    <col min="14361" max="14361" width="6" style="766" bestFit="1" customWidth="1"/>
    <col min="14362" max="14363" width="9.375" style="766"/>
    <col min="14364" max="14365" width="13.125" style="766" bestFit="1" customWidth="1"/>
    <col min="14366" max="14366" width="9.375" style="766"/>
    <col min="14367" max="14367" width="15.875" style="766" bestFit="1" customWidth="1"/>
    <col min="14368" max="14370" width="10.875" style="766" bestFit="1" customWidth="1"/>
    <col min="14371" max="14608" width="9.375" style="766"/>
    <col min="14609" max="14609" width="1.5" style="766" customWidth="1"/>
    <col min="14610" max="14610" width="56.625" style="766" bestFit="1" customWidth="1"/>
    <col min="14611" max="14611" width="5.375" style="766" customWidth="1"/>
    <col min="14612" max="14612" width="17" style="766" bestFit="1" customWidth="1"/>
    <col min="14613" max="14613" width="16.875" style="766" customWidth="1"/>
    <col min="14614" max="14614" width="6" style="766" bestFit="1" customWidth="1"/>
    <col min="14615" max="14615" width="11.125" style="766" bestFit="1" customWidth="1"/>
    <col min="14616" max="14616" width="16.875" style="766" customWidth="1"/>
    <col min="14617" max="14617" width="6" style="766" bestFit="1" customWidth="1"/>
    <col min="14618" max="14619" width="9.375" style="766"/>
    <col min="14620" max="14621" width="13.125" style="766" bestFit="1" customWidth="1"/>
    <col min="14622" max="14622" width="9.375" style="766"/>
    <col min="14623" max="14623" width="15.875" style="766" bestFit="1" customWidth="1"/>
    <col min="14624" max="14626" width="10.875" style="766" bestFit="1" customWidth="1"/>
    <col min="14627" max="14864" width="9.375" style="766"/>
    <col min="14865" max="14865" width="1.5" style="766" customWidth="1"/>
    <col min="14866" max="14866" width="56.625" style="766" bestFit="1" customWidth="1"/>
    <col min="14867" max="14867" width="5.375" style="766" customWidth="1"/>
    <col min="14868" max="14868" width="17" style="766" bestFit="1" customWidth="1"/>
    <col min="14869" max="14869" width="16.875" style="766" customWidth="1"/>
    <col min="14870" max="14870" width="6" style="766" bestFit="1" customWidth="1"/>
    <col min="14871" max="14871" width="11.125" style="766" bestFit="1" customWidth="1"/>
    <col min="14872" max="14872" width="16.875" style="766" customWidth="1"/>
    <col min="14873" max="14873" width="6" style="766" bestFit="1" customWidth="1"/>
    <col min="14874" max="14875" width="9.375" style="766"/>
    <col min="14876" max="14877" width="13.125" style="766" bestFit="1" customWidth="1"/>
    <col min="14878" max="14878" width="9.375" style="766"/>
    <col min="14879" max="14879" width="15.875" style="766" bestFit="1" customWidth="1"/>
    <col min="14880" max="14882" width="10.875" style="766" bestFit="1" customWidth="1"/>
    <col min="14883" max="15120" width="9.375" style="766"/>
    <col min="15121" max="15121" width="1.5" style="766" customWidth="1"/>
    <col min="15122" max="15122" width="56.625" style="766" bestFit="1" customWidth="1"/>
    <col min="15123" max="15123" width="5.375" style="766" customWidth="1"/>
    <col min="15124" max="15124" width="17" style="766" bestFit="1" customWidth="1"/>
    <col min="15125" max="15125" width="16.875" style="766" customWidth="1"/>
    <col min="15126" max="15126" width="6" style="766" bestFit="1" customWidth="1"/>
    <col min="15127" max="15127" width="11.125" style="766" bestFit="1" customWidth="1"/>
    <col min="15128" max="15128" width="16.875" style="766" customWidth="1"/>
    <col min="15129" max="15129" width="6" style="766" bestFit="1" customWidth="1"/>
    <col min="15130" max="15131" width="9.375" style="766"/>
    <col min="15132" max="15133" width="13.125" style="766" bestFit="1" customWidth="1"/>
    <col min="15134" max="15134" width="9.375" style="766"/>
    <col min="15135" max="15135" width="15.875" style="766" bestFit="1" customWidth="1"/>
    <col min="15136" max="15138" width="10.875" style="766" bestFit="1" customWidth="1"/>
    <col min="15139" max="15376" width="9.375" style="766"/>
    <col min="15377" max="15377" width="1.5" style="766" customWidth="1"/>
    <col min="15378" max="15378" width="56.625" style="766" bestFit="1" customWidth="1"/>
    <col min="15379" max="15379" width="5.375" style="766" customWidth="1"/>
    <col min="15380" max="15380" width="17" style="766" bestFit="1" customWidth="1"/>
    <col min="15381" max="15381" width="16.875" style="766" customWidth="1"/>
    <col min="15382" max="15382" width="6" style="766" bestFit="1" customWidth="1"/>
    <col min="15383" max="15383" width="11.125" style="766" bestFit="1" customWidth="1"/>
    <col min="15384" max="15384" width="16.875" style="766" customWidth="1"/>
    <col min="15385" max="15385" width="6" style="766" bestFit="1" customWidth="1"/>
    <col min="15386" max="15387" width="9.375" style="766"/>
    <col min="15388" max="15389" width="13.125" style="766" bestFit="1" customWidth="1"/>
    <col min="15390" max="15390" width="9.375" style="766"/>
    <col min="15391" max="15391" width="15.875" style="766" bestFit="1" customWidth="1"/>
    <col min="15392" max="15394" width="10.875" style="766" bestFit="1" customWidth="1"/>
    <col min="15395" max="15632" width="9.375" style="766"/>
    <col min="15633" max="15633" width="1.5" style="766" customWidth="1"/>
    <col min="15634" max="15634" width="56.625" style="766" bestFit="1" customWidth="1"/>
    <col min="15635" max="15635" width="5.375" style="766" customWidth="1"/>
    <col min="15636" max="15636" width="17" style="766" bestFit="1" customWidth="1"/>
    <col min="15637" max="15637" width="16.875" style="766" customWidth="1"/>
    <col min="15638" max="15638" width="6" style="766" bestFit="1" customWidth="1"/>
    <col min="15639" max="15639" width="11.125" style="766" bestFit="1" customWidth="1"/>
    <col min="15640" max="15640" width="16.875" style="766" customWidth="1"/>
    <col min="15641" max="15641" width="6" style="766" bestFit="1" customWidth="1"/>
    <col min="15642" max="15643" width="9.375" style="766"/>
    <col min="15644" max="15645" width="13.125" style="766" bestFit="1" customWidth="1"/>
    <col min="15646" max="15646" width="9.375" style="766"/>
    <col min="15647" max="15647" width="15.875" style="766" bestFit="1" customWidth="1"/>
    <col min="15648" max="15650" width="10.875" style="766" bestFit="1" customWidth="1"/>
    <col min="15651" max="15888" width="9.375" style="766"/>
    <col min="15889" max="15889" width="1.5" style="766" customWidth="1"/>
    <col min="15890" max="15890" width="56.625" style="766" bestFit="1" customWidth="1"/>
    <col min="15891" max="15891" width="5.375" style="766" customWidth="1"/>
    <col min="15892" max="15892" width="17" style="766" bestFit="1" customWidth="1"/>
    <col min="15893" max="15893" width="16.875" style="766" customWidth="1"/>
    <col min="15894" max="15894" width="6" style="766" bestFit="1" customWidth="1"/>
    <col min="15895" max="15895" width="11.125" style="766" bestFit="1" customWidth="1"/>
    <col min="15896" max="15896" width="16.875" style="766" customWidth="1"/>
    <col min="15897" max="15897" width="6" style="766" bestFit="1" customWidth="1"/>
    <col min="15898" max="15899" width="9.375" style="766"/>
    <col min="15900" max="15901" width="13.125" style="766" bestFit="1" customWidth="1"/>
    <col min="15902" max="15902" width="9.375" style="766"/>
    <col min="15903" max="15903" width="15.875" style="766" bestFit="1" customWidth="1"/>
    <col min="15904" max="15906" width="10.875" style="766" bestFit="1" customWidth="1"/>
    <col min="15907" max="16144" width="9.375" style="766"/>
    <col min="16145" max="16145" width="1.5" style="766" customWidth="1"/>
    <col min="16146" max="16146" width="56.625" style="766" bestFit="1" customWidth="1"/>
    <col min="16147" max="16147" width="5.375" style="766" customWidth="1"/>
    <col min="16148" max="16148" width="17" style="766" bestFit="1" customWidth="1"/>
    <col min="16149" max="16149" width="16.875" style="766" customWidth="1"/>
    <col min="16150" max="16150" width="6" style="766" bestFit="1" customWidth="1"/>
    <col min="16151" max="16151" width="11.125" style="766" bestFit="1" customWidth="1"/>
    <col min="16152" max="16152" width="16.875" style="766" customWidth="1"/>
    <col min="16153" max="16153" width="6" style="766" bestFit="1" customWidth="1"/>
    <col min="16154" max="16155" width="9.375" style="766"/>
    <col min="16156" max="16157" width="13.125" style="766" bestFit="1" customWidth="1"/>
    <col min="16158" max="16158" width="9.375" style="766"/>
    <col min="16159" max="16159" width="15.875" style="766" bestFit="1" customWidth="1"/>
    <col min="16160" max="16162" width="10.875" style="766" bestFit="1" customWidth="1"/>
    <col min="16163" max="16384" width="9.375" style="766"/>
  </cols>
  <sheetData>
    <row r="1" spans="1:34" ht="15.75" thickBot="1">
      <c r="Z1" s="766">
        <v>33</v>
      </c>
    </row>
    <row r="2" spans="1:34">
      <c r="C2" s="766" t="s">
        <v>2235</v>
      </c>
      <c r="E2" s="1040">
        <f>+J10/I7</f>
        <v>48.068696279988515</v>
      </c>
      <c r="F2" s="766">
        <f>+M10/L7</f>
        <v>40.285915178616868</v>
      </c>
      <c r="H2" s="1041"/>
      <c r="I2" s="1042"/>
      <c r="J2" s="1042"/>
      <c r="K2" s="1043"/>
      <c r="L2" s="1042"/>
      <c r="M2" s="1044"/>
      <c r="N2" s="1045"/>
      <c r="O2" s="1046"/>
      <c r="P2" s="1046"/>
      <c r="Q2" s="1046"/>
      <c r="R2" s="1046"/>
      <c r="S2" s="1047"/>
      <c r="Z2" s="766">
        <f>57+86</f>
        <v>143</v>
      </c>
    </row>
    <row r="3" spans="1:34">
      <c r="C3" s="766" t="s">
        <v>2236</v>
      </c>
      <c r="E3" s="1040">
        <f>+(J11+J12)/I7</f>
        <v>-29.951027932678677</v>
      </c>
      <c r="F3" s="766">
        <f>(M11+M12)/L7</f>
        <v>-24.700436488309013</v>
      </c>
      <c r="H3" s="1048" t="s">
        <v>592</v>
      </c>
      <c r="I3" s="1049">
        <v>3.2610999999999999</v>
      </c>
      <c r="J3" s="1050"/>
      <c r="K3" s="1051"/>
      <c r="L3" s="1052">
        <v>3.2964000000000002</v>
      </c>
      <c r="M3" s="1050"/>
      <c r="N3" s="1053"/>
      <c r="P3" s="1054"/>
      <c r="S3" s="1055"/>
      <c r="Z3" s="766">
        <v>51</v>
      </c>
    </row>
    <row r="4" spans="1:34">
      <c r="E4" s="1040">
        <f>((J15+J16+J14)/I7)*0.6</f>
        <v>-6.3623433152401301</v>
      </c>
      <c r="F4" s="766">
        <f>+M17/L7</f>
        <v>-32.343376623938831</v>
      </c>
      <c r="H4" s="1056"/>
      <c r="I4" s="766"/>
      <c r="J4" s="766"/>
      <c r="K4" s="766"/>
      <c r="L4" s="766"/>
      <c r="M4" s="766"/>
      <c r="N4" s="1057"/>
      <c r="S4" s="1055"/>
      <c r="U4" s="1058" t="s">
        <v>606</v>
      </c>
      <c r="V4" s="1059"/>
      <c r="W4" s="1060"/>
      <c r="X4" s="1059"/>
    </row>
    <row r="5" spans="1:34">
      <c r="C5" s="1061"/>
      <c r="D5" s="1061"/>
      <c r="E5" s="1040">
        <f>+E2+E3++E4</f>
        <v>11.755325032069708</v>
      </c>
      <c r="F5" s="766">
        <f>+F2+F3++F4</f>
        <v>-16.757897933630975</v>
      </c>
      <c r="H5" s="1268" t="s">
        <v>601</v>
      </c>
      <c r="I5" s="1267">
        <v>44926</v>
      </c>
      <c r="J5" s="1269"/>
      <c r="K5" s="1270" t="s">
        <v>594</v>
      </c>
      <c r="L5" s="1267">
        <v>44561</v>
      </c>
      <c r="M5" s="1269"/>
      <c r="N5" s="1271" t="s">
        <v>594</v>
      </c>
      <c r="P5" s="1267" t="s">
        <v>593</v>
      </c>
      <c r="Q5" s="1267"/>
      <c r="R5" s="1267"/>
      <c r="S5" s="1062"/>
    </row>
    <row r="6" spans="1:34">
      <c r="E6" s="1063">
        <f>+E5/E2</f>
        <v>0.24455260786766062</v>
      </c>
      <c r="H6" s="1268"/>
      <c r="I6" s="1064" t="s">
        <v>521</v>
      </c>
      <c r="J6" s="1064" t="s">
        <v>522</v>
      </c>
      <c r="K6" s="1270"/>
      <c r="L6" s="1064" t="s">
        <v>521</v>
      </c>
      <c r="M6" s="1064" t="s">
        <v>522</v>
      </c>
      <c r="N6" s="1271"/>
      <c r="P6" s="1064" t="s">
        <v>521</v>
      </c>
      <c r="Q6" s="1064" t="s">
        <v>522</v>
      </c>
      <c r="R6" s="1064" t="s">
        <v>596</v>
      </c>
      <c r="S6" s="1065"/>
    </row>
    <row r="7" spans="1:34">
      <c r="C7" s="766" t="s">
        <v>2237</v>
      </c>
      <c r="E7" s="1066">
        <f>+Q18</f>
        <v>-276944.15308055282</v>
      </c>
      <c r="H7" s="1067" t="s">
        <v>2217</v>
      </c>
      <c r="I7" s="1068">
        <v>302324.3370786517</v>
      </c>
      <c r="J7" s="1069"/>
      <c r="K7" s="1070"/>
      <c r="L7" s="1068">
        <v>320871.91011235956</v>
      </c>
      <c r="M7" s="1069"/>
      <c r="N7" s="1071"/>
      <c r="P7" s="1069"/>
      <c r="Q7" s="1068">
        <f>+I7-L7</f>
        <v>-18547.573033707857</v>
      </c>
      <c r="R7" s="1072">
        <f>+Q7/L7</f>
        <v>-5.780366697481578E-2</v>
      </c>
      <c r="S7" s="1073"/>
      <c r="U7" s="1074"/>
      <c r="V7" s="1075"/>
      <c r="W7" s="1074"/>
    </row>
    <row r="8" spans="1:34">
      <c r="C8" s="766" t="s">
        <v>2238</v>
      </c>
      <c r="E8" s="1066">
        <f>+'I.2 Operating Perfor_CONS_YTD'!N39*1000</f>
        <v>-703111.65703935921</v>
      </c>
      <c r="H8" s="1056" t="s">
        <v>575</v>
      </c>
      <c r="I8" s="1035">
        <v>47173702.1523</v>
      </c>
      <c r="J8" s="1035">
        <f>+I8/$I$3</f>
        <v>14465579.759069026</v>
      </c>
      <c r="K8" s="1076"/>
      <c r="L8" s="1077">
        <v>42428657.581363715</v>
      </c>
      <c r="M8" s="1077">
        <f>+L8/$L$3</f>
        <v>12871210.28435982</v>
      </c>
      <c r="N8" s="1078"/>
      <c r="P8" s="1077">
        <f t="shared" ref="P8:Q26" si="0">I8-L8</f>
        <v>4745044.570936285</v>
      </c>
      <c r="Q8" s="1077">
        <f t="shared" si="0"/>
        <v>1594369.4747092053</v>
      </c>
      <c r="R8" s="1078">
        <f>Q8/M8</f>
        <v>0.12387098334074845</v>
      </c>
      <c r="S8" s="1079"/>
      <c r="AA8" s="766">
        <f>T8/J8</f>
        <v>0</v>
      </c>
    </row>
    <row r="9" spans="1:34">
      <c r="C9" s="766" t="s">
        <v>2239</v>
      </c>
      <c r="E9" s="1080">
        <f>+E7/E5</f>
        <v>-23559.038335819838</v>
      </c>
      <c r="F9" s="1035">
        <f>+F7/F5</f>
        <v>0</v>
      </c>
      <c r="H9" s="1081" t="s">
        <v>576</v>
      </c>
      <c r="I9" s="1082">
        <v>217701.18100000001</v>
      </c>
      <c r="J9" s="1082">
        <f>+I9/$I$3</f>
        <v>66756.978013553715</v>
      </c>
      <c r="K9" s="1083"/>
      <c r="L9" s="1084">
        <v>182647.82</v>
      </c>
      <c r="M9" s="1084">
        <f>+L9/$L$3</f>
        <v>55408.269627472393</v>
      </c>
      <c r="N9" s="1085"/>
      <c r="O9" s="1086"/>
      <c r="P9" s="1084">
        <f t="shared" si="0"/>
        <v>35053.361000000004</v>
      </c>
      <c r="Q9" s="1084">
        <f t="shared" si="0"/>
        <v>11348.708386081322</v>
      </c>
      <c r="R9" s="1085">
        <f>Q9/M9</f>
        <v>0.2048197581765743</v>
      </c>
      <c r="S9" s="1087"/>
      <c r="T9" s="1086"/>
      <c r="U9" s="1088"/>
      <c r="V9" s="1088"/>
      <c r="W9" s="1088"/>
      <c r="X9" s="1086"/>
    </row>
    <row r="10" spans="1:34" ht="105">
      <c r="C10" s="766" t="s">
        <v>2240</v>
      </c>
      <c r="E10" s="1089">
        <f>+E8/E5</f>
        <v>-59812.183425060553</v>
      </c>
      <c r="G10" s="1090"/>
      <c r="H10" s="1091" t="s">
        <v>577</v>
      </c>
      <c r="I10" s="1092">
        <f>SUM(I8:I9)</f>
        <v>47391403.333300002</v>
      </c>
      <c r="J10" s="1092">
        <f>SUM(J8:J9)</f>
        <v>14532336.73708258</v>
      </c>
      <c r="K10" s="1093"/>
      <c r="L10" s="1092">
        <f>SUM(L8:L9)</f>
        <v>42611305.401363716</v>
      </c>
      <c r="M10" s="1092">
        <f>+L10/$L$3</f>
        <v>12926618.553987293</v>
      </c>
      <c r="N10" s="1094"/>
      <c r="O10" s="1086"/>
      <c r="P10" s="1092">
        <f t="shared" si="0"/>
        <v>4780097.9319362864</v>
      </c>
      <c r="Q10" s="1092">
        <f t="shared" si="0"/>
        <v>1605718.1830952875</v>
      </c>
      <c r="R10" s="1094">
        <f>Q10/M10</f>
        <v>0.12421795973858872</v>
      </c>
      <c r="S10" s="1095"/>
      <c r="T10" s="1086"/>
      <c r="U10" s="1096">
        <f>R10</f>
        <v>0.12421795973858872</v>
      </c>
      <c r="V10" s="1088"/>
      <c r="W10" s="1097">
        <f>+Q10</f>
        <v>1605718.1830952875</v>
      </c>
      <c r="X10" s="1034" t="s">
        <v>2246</v>
      </c>
      <c r="Z10" s="766">
        <v>2040.14</v>
      </c>
      <c r="AA10" s="766">
        <f>T10/M10</f>
        <v>0</v>
      </c>
    </row>
    <row r="11" spans="1:34">
      <c r="G11" s="1090"/>
      <c r="H11" s="1056" t="s">
        <v>573</v>
      </c>
      <c r="I11" s="1035">
        <v>1678740.6593666594</v>
      </c>
      <c r="J11" s="1035">
        <f>+I11/$I$3</f>
        <v>514777.42460110376</v>
      </c>
      <c r="K11" s="1076">
        <f>+J11/$J$10</f>
        <v>3.5422894054438707E-2</v>
      </c>
      <c r="L11" s="1077">
        <v>-2344325.4128367156</v>
      </c>
      <c r="M11" s="1077">
        <f t="shared" ref="M11:M16" si="1">+L11/$L$3</f>
        <v>-711177.47022106405</v>
      </c>
      <c r="N11" s="1076">
        <f>+M11/$M$10</f>
        <v>-5.5016512419769445E-2</v>
      </c>
      <c r="P11" s="1077">
        <f>I11-L11</f>
        <v>4023066.0722033749</v>
      </c>
      <c r="Q11" s="1077">
        <f t="shared" si="0"/>
        <v>1225954.8948221677</v>
      </c>
      <c r="R11" s="1076">
        <f>Q11/M11</f>
        <v>-1.7238382065746389</v>
      </c>
      <c r="S11" s="1098"/>
      <c r="U11" s="1099"/>
      <c r="V11" s="1100"/>
      <c r="W11" s="1101"/>
      <c r="Z11" s="766">
        <v>1867.97</v>
      </c>
      <c r="AA11" s="766">
        <f>+Z10-Z11</f>
        <v>172.17000000000007</v>
      </c>
      <c r="AB11" s="766">
        <f>+AA11/Z11</f>
        <v>9.2169574457833942E-2</v>
      </c>
    </row>
    <row r="12" spans="1:34">
      <c r="H12" s="1056" t="s">
        <v>572</v>
      </c>
      <c r="I12" s="1035">
        <f>-31478755.483+271000</f>
        <v>-31207755.482999999</v>
      </c>
      <c r="J12" s="1035">
        <f>+I12/$I$3</f>
        <v>-9569702.0891723651</v>
      </c>
      <c r="K12" s="1076">
        <f>+J12/$J$10</f>
        <v>-0.65851089623825476</v>
      </c>
      <c r="L12" s="1077">
        <v>-23781873.733533505</v>
      </c>
      <c r="M12" s="1077">
        <f t="shared" si="1"/>
        <v>-7214498.7663916713</v>
      </c>
      <c r="N12" s="1076">
        <f>+M12/$M$10</f>
        <v>-0.55811183228318562</v>
      </c>
      <c r="P12" s="1077">
        <f t="shared" si="0"/>
        <v>-7425881.7494664937</v>
      </c>
      <c r="Q12" s="1077">
        <f t="shared" si="0"/>
        <v>-2355203.3227806939</v>
      </c>
      <c r="R12" s="1076">
        <f>-Q12/M12</f>
        <v>-0.32645418608320698</v>
      </c>
      <c r="S12" s="1098"/>
      <c r="U12" s="1102"/>
      <c r="V12" s="1074"/>
    </row>
    <row r="13" spans="1:34" s="1103" customFormat="1" ht="75">
      <c r="A13" s="1061"/>
      <c r="B13" s="1061"/>
      <c r="G13" s="1104"/>
      <c r="H13" s="1105" t="s">
        <v>574</v>
      </c>
      <c r="I13" s="1106">
        <f>+I10+SUM(I11:I12)</f>
        <v>17862388.509666663</v>
      </c>
      <c r="J13" s="1106">
        <f>+J10+SUM(J11:J12)</f>
        <v>5477412.0725113191</v>
      </c>
      <c r="K13" s="1107">
        <f>+J13/J10</f>
        <v>0.37691199781618395</v>
      </c>
      <c r="L13" s="1106">
        <f>+L10+SUM(L11:L12)</f>
        <v>16485106.254993495</v>
      </c>
      <c r="M13" s="1108">
        <f t="shared" si="1"/>
        <v>5000942.3173745582</v>
      </c>
      <c r="N13" s="1109">
        <f>+M13/M10</f>
        <v>0.38687165529704498</v>
      </c>
      <c r="O13" s="1110"/>
      <c r="P13" s="1106">
        <f t="shared" si="0"/>
        <v>1377282.2546731681</v>
      </c>
      <c r="Q13" s="1108">
        <f t="shared" si="0"/>
        <v>476469.75513676088</v>
      </c>
      <c r="R13" s="1109">
        <f>Q13/M13</f>
        <v>9.5275994982262149E-2</v>
      </c>
      <c r="S13" s="1111"/>
      <c r="T13" s="1112"/>
      <c r="U13" s="1113">
        <f>K13-N13</f>
        <v>-9.9596574808610283E-3</v>
      </c>
      <c r="V13" s="1114"/>
      <c r="W13" s="1115">
        <f>+Q13</f>
        <v>476469.75513676088</v>
      </c>
      <c r="X13" s="1116" t="s">
        <v>2220</v>
      </c>
      <c r="Y13" s="1035"/>
      <c r="Z13" s="766"/>
    </row>
    <row r="14" spans="1:34" ht="60">
      <c r="H14" s="1117" t="s">
        <v>578</v>
      </c>
      <c r="I14" s="1118">
        <f>-5680758.601-271000</f>
        <v>-5951758.6009999998</v>
      </c>
      <c r="J14" s="1118">
        <f>+I14/$I$3</f>
        <v>-1825076.9988654135</v>
      </c>
      <c r="K14" s="1119">
        <f>+J14/$J$10</f>
        <v>-0.12558730449785904</v>
      </c>
      <c r="L14" s="1118">
        <v>-4270310.1499999994</v>
      </c>
      <c r="M14" s="1118">
        <f t="shared" si="1"/>
        <v>-1295446.5932532458</v>
      </c>
      <c r="N14" s="1120">
        <f>+M14/$M$10</f>
        <v>-0.10021542662861802</v>
      </c>
      <c r="O14" s="1110"/>
      <c r="P14" s="1118">
        <f t="shared" si="0"/>
        <v>-1681448.4510000004</v>
      </c>
      <c r="Q14" s="1118">
        <f t="shared" si="0"/>
        <v>-529630.40561216767</v>
      </c>
      <c r="R14" s="1119">
        <f t="shared" ref="R14:R16" si="2">-Q14/M14</f>
        <v>-0.40884001576792955</v>
      </c>
      <c r="S14" s="1121"/>
      <c r="T14" s="1112"/>
      <c r="U14" s="1122"/>
      <c r="V14" s="1122"/>
      <c r="W14" s="1115">
        <f>+Q14</f>
        <v>-529630.40561216767</v>
      </c>
      <c r="X14" s="1116" t="s">
        <v>2221</v>
      </c>
      <c r="AA14" s="766" t="s">
        <v>5</v>
      </c>
      <c r="AB14" s="766" t="s">
        <v>523</v>
      </c>
      <c r="AC14" s="766" t="s">
        <v>524</v>
      </c>
      <c r="AE14" s="1123" t="s">
        <v>525</v>
      </c>
      <c r="AF14" s="1123" t="s">
        <v>523</v>
      </c>
      <c r="AG14" s="1123" t="s">
        <v>524</v>
      </c>
      <c r="AH14" s="1123" t="s">
        <v>526</v>
      </c>
    </row>
    <row r="15" spans="1:34" ht="60">
      <c r="H15" s="1117" t="s">
        <v>579</v>
      </c>
      <c r="I15" s="1118">
        <v>-4248881.1190000018</v>
      </c>
      <c r="J15" s="1118">
        <f>+I15/$I$3</f>
        <v>-1302898.1383582233</v>
      </c>
      <c r="K15" s="1119">
        <f>+J15/$J$10</f>
        <v>-8.9655102405766629E-2</v>
      </c>
      <c r="L15" s="1118">
        <v>-3267653.5837749997</v>
      </c>
      <c r="M15" s="1118">
        <f t="shared" si="1"/>
        <v>-991279.45145461697</v>
      </c>
      <c r="N15" s="1120">
        <f>+M15/$M$10</f>
        <v>-7.6685132102768741E-2</v>
      </c>
      <c r="O15" s="1110"/>
      <c r="P15" s="1118">
        <f t="shared" si="0"/>
        <v>-981227.5352250021</v>
      </c>
      <c r="Q15" s="1118">
        <f t="shared" si="0"/>
        <v>-311618.68690360629</v>
      </c>
      <c r="R15" s="1119">
        <f t="shared" si="2"/>
        <v>-0.31436007923530823</v>
      </c>
      <c r="S15" s="1121"/>
      <c r="T15" s="1112"/>
      <c r="U15" s="1122"/>
      <c r="V15" s="1122"/>
      <c r="W15" s="1115">
        <f>+Q15</f>
        <v>-311618.68690360629</v>
      </c>
      <c r="X15" s="1116" t="s">
        <v>2222</v>
      </c>
      <c r="AA15" s="766" t="s">
        <v>169</v>
      </c>
      <c r="AB15" s="1037">
        <v>4848524.0369999958</v>
      </c>
      <c r="AC15" s="1037">
        <v>5354675.3585000038</v>
      </c>
      <c r="AE15" s="766" t="s">
        <v>169</v>
      </c>
      <c r="AF15" s="1037">
        <f>AB15/$I$3/1000</f>
        <v>1486.7756392014951</v>
      </c>
      <c r="AG15" s="1037">
        <f>AC15/$L$3/1000</f>
        <v>1624.4009703009353</v>
      </c>
      <c r="AH15" s="1124">
        <f>AF15-AG15</f>
        <v>-137.62533109944025</v>
      </c>
    </row>
    <row r="16" spans="1:34">
      <c r="H16" s="1117" t="s">
        <v>2018</v>
      </c>
      <c r="I16" s="1118">
        <v>-253855.67</v>
      </c>
      <c r="J16" s="1118">
        <f>+I16/$I$3</f>
        <v>-77843.571187636087</v>
      </c>
      <c r="K16" s="1119">
        <f>+J16/$M$10</f>
        <v>-6.021959328537994E-3</v>
      </c>
      <c r="L16" s="1118">
        <f>34856.5504156369-581000</f>
        <v>-546143.44958436314</v>
      </c>
      <c r="M16" s="1118">
        <f t="shared" si="1"/>
        <v>-165678.75548609486</v>
      </c>
      <c r="N16" s="1120">
        <f>+M16/$M$10</f>
        <v>-1.2816867365130864E-2</v>
      </c>
      <c r="O16" s="1110"/>
      <c r="P16" s="1118">
        <f>I16-L16</f>
        <v>292287.7795843631</v>
      </c>
      <c r="Q16" s="1118">
        <f>J16-M16</f>
        <v>87835.184298458771</v>
      </c>
      <c r="R16" s="1119">
        <f t="shared" si="2"/>
        <v>0.53015357364771265</v>
      </c>
      <c r="S16" s="1121"/>
      <c r="T16" s="1112"/>
      <c r="U16" s="1122"/>
      <c r="V16" s="1122"/>
      <c r="W16" s="1097">
        <f>+Q16</f>
        <v>87835.184298458771</v>
      </c>
      <c r="X16" s="1034" t="s">
        <v>2208</v>
      </c>
      <c r="AA16" s="766" t="s">
        <v>170</v>
      </c>
      <c r="AB16" s="1037">
        <v>1649929.435999997</v>
      </c>
      <c r="AC16" s="1037">
        <v>701451.77400000021</v>
      </c>
      <c r="AE16" s="766" t="s">
        <v>170</v>
      </c>
      <c r="AF16" s="1037">
        <f>AB16/$I$3/1000</f>
        <v>505.94260709576429</v>
      </c>
      <c r="AG16" s="1037">
        <f>AC16/$L$3/1000</f>
        <v>212.79328176192215</v>
      </c>
      <c r="AH16" s="1124">
        <f>AF16-AG16</f>
        <v>293.14932533384217</v>
      </c>
    </row>
    <row r="17" spans="8:34">
      <c r="H17" s="1125" t="s">
        <v>595</v>
      </c>
      <c r="I17" s="1126">
        <f>SUM(I11:I16)-I13</f>
        <v>-39983510.213633344</v>
      </c>
      <c r="J17" s="1126">
        <f>SUM(J11:J16)-J13</f>
        <v>-12260743.372982534</v>
      </c>
      <c r="K17" s="1127">
        <f>J17/J10</f>
        <v>-0.8436869854313549</v>
      </c>
      <c r="L17" s="1126">
        <f>SUM(L11:L16)-L13</f>
        <v>-34210306.329729587</v>
      </c>
      <c r="M17" s="1126">
        <f>SUM(M11:M16)-M13</f>
        <v>-10378081.036806691</v>
      </c>
      <c r="N17" s="1128">
        <f>M17/M10</f>
        <v>-0.80284577079947261</v>
      </c>
      <c r="P17" s="1126">
        <f t="shared" si="0"/>
        <v>-5773203.8839037567</v>
      </c>
      <c r="Q17" s="1126">
        <f t="shared" si="0"/>
        <v>-1882662.3361758422</v>
      </c>
      <c r="R17" s="1128">
        <f>-Q17/M17</f>
        <v>-0.18140755786149965</v>
      </c>
      <c r="S17" s="1129"/>
      <c r="X17" s="1130"/>
      <c r="AA17" s="766" t="s">
        <v>171</v>
      </c>
      <c r="AB17" s="1037">
        <v>-283000</v>
      </c>
      <c r="AC17" s="1037">
        <v>0</v>
      </c>
      <c r="AE17" s="766" t="s">
        <v>171</v>
      </c>
      <c r="AF17" s="1037">
        <f>AB17/$I$3/1000</f>
        <v>-86.780534175584918</v>
      </c>
      <c r="AG17" s="1037">
        <f>AC17/$L$3</f>
        <v>0</v>
      </c>
      <c r="AH17" s="1124">
        <f>AF17-AG17</f>
        <v>-86.780534175584918</v>
      </c>
    </row>
    <row r="18" spans="8:34" s="1103" customFormat="1">
      <c r="H18" s="1131" t="s">
        <v>5</v>
      </c>
      <c r="I18" s="1132">
        <f>SUM(I10+I17)</f>
        <v>7407893.1196666583</v>
      </c>
      <c r="J18" s="1132">
        <f>SUM(J10+J17)</f>
        <v>2271593.3641000465</v>
      </c>
      <c r="K18" s="1133">
        <f>+J18/$J$10</f>
        <v>0.15631301456864516</v>
      </c>
      <c r="L18" s="1132">
        <f>SUM(L10+L17)</f>
        <v>8400999.0716341287</v>
      </c>
      <c r="M18" s="1134">
        <f>+L18/$L$3</f>
        <v>2548537.5171805993</v>
      </c>
      <c r="N18" s="1135">
        <f>+M18/$M$10</f>
        <v>0.19715422920052728</v>
      </c>
      <c r="O18" s="1112"/>
      <c r="P18" s="1132">
        <f>I18-L18</f>
        <v>-993105.95196747035</v>
      </c>
      <c r="Q18" s="1134">
        <f>J18-M18</f>
        <v>-276944.15308055282</v>
      </c>
      <c r="R18" s="1135">
        <f>Q18/M18</f>
        <v>-0.10866787371720982</v>
      </c>
      <c r="S18" s="1136"/>
      <c r="T18" s="1112"/>
      <c r="U18" s="1137"/>
      <c r="V18" s="1138"/>
      <c r="W18" s="1139"/>
      <c r="X18" s="1140"/>
      <c r="Y18" s="1141"/>
      <c r="Z18" s="766"/>
      <c r="AB18" s="1142">
        <f>I18</f>
        <v>7407893.1196666583</v>
      </c>
      <c r="AC18" s="1142">
        <f>L18</f>
        <v>8400999.0716341287</v>
      </c>
      <c r="AH18" s="1143">
        <f>SUM(AH15:AH17)</f>
        <v>68.743460058817007</v>
      </c>
    </row>
    <row r="19" spans="8:34">
      <c r="H19" s="1117" t="s">
        <v>580</v>
      </c>
      <c r="I19" s="1118">
        <v>-2520896.776710256</v>
      </c>
      <c r="J19" s="1118">
        <f>+I19/$I$3</f>
        <v>-773020.38475062279</v>
      </c>
      <c r="K19" s="1119">
        <f>+J19/$J$10</f>
        <v>-5.3193123634279992E-2</v>
      </c>
      <c r="L19" s="1160">
        <v>-2295191.0481633702</v>
      </c>
      <c r="M19" s="1118">
        <f>+L19/$L$3</f>
        <v>-696272.00830098591</v>
      </c>
      <c r="N19" s="1120">
        <f>+M19/$M$10</f>
        <v>-5.3863429588569135E-2</v>
      </c>
      <c r="O19" s="1112"/>
      <c r="P19" s="1160">
        <f t="shared" si="0"/>
        <v>-225705.72854688577</v>
      </c>
      <c r="Q19" s="1118">
        <f>J19-M19</f>
        <v>-76748.376449636882</v>
      </c>
      <c r="R19" s="1119">
        <f t="shared" ref="R19" si="3">-Q19/M19</f>
        <v>-0.11022757705988366</v>
      </c>
      <c r="S19" s="1121"/>
      <c r="T19" s="1112"/>
      <c r="U19" s="1122"/>
      <c r="V19" s="1122"/>
      <c r="W19" s="1161">
        <f>Q19</f>
        <v>-76748.376449636882</v>
      </c>
      <c r="X19" s="1116" t="s">
        <v>2201</v>
      </c>
      <c r="AB19" s="1037" t="e">
        <f>#REF!-AB18</f>
        <v>#REF!</v>
      </c>
      <c r="AC19" s="1037" t="e">
        <f>#REF!-AC18</f>
        <v>#REF!</v>
      </c>
    </row>
    <row r="20" spans="8:34">
      <c r="H20" s="1152" t="s">
        <v>528</v>
      </c>
      <c r="I20" s="1153">
        <f>SUM(I18+I19)</f>
        <v>4886996.3429564023</v>
      </c>
      <c r="J20" s="1153">
        <f>SUM(J18+J19)</f>
        <v>1498572.9793494237</v>
      </c>
      <c r="K20" s="1154">
        <f>+J20/$J$10</f>
        <v>0.10311989093436516</v>
      </c>
      <c r="L20" s="1153">
        <f>SUM(L18+L19)</f>
        <v>6105808.0234707585</v>
      </c>
      <c r="M20" s="1153">
        <f>SUM(M18+M19)</f>
        <v>1852265.5088796134</v>
      </c>
      <c r="N20" s="1155">
        <f>+M20/$M$10</f>
        <v>0.14329079961195815</v>
      </c>
      <c r="P20" s="1153">
        <f t="shared" si="0"/>
        <v>-1218811.6805143561</v>
      </c>
      <c r="Q20" s="1153">
        <f t="shared" si="0"/>
        <v>-353692.5295301897</v>
      </c>
      <c r="R20" s="1155">
        <f>Q20/M20</f>
        <v>-0.19095131223607839</v>
      </c>
      <c r="S20" s="1156"/>
      <c r="U20" s="1100"/>
      <c r="V20" s="1157"/>
      <c r="W20" s="1158"/>
      <c r="X20" s="1159"/>
    </row>
    <row r="21" spans="8:34" ht="75">
      <c r="H21" s="1117" t="s">
        <v>584</v>
      </c>
      <c r="I21" s="1118">
        <v>-1629504.4380000001</v>
      </c>
      <c r="J21" s="1118">
        <f>+I21/$I$3</f>
        <v>-499679.38364355592</v>
      </c>
      <c r="K21" s="1119">
        <f t="shared" ref="K21:K23" si="4">+J21/$M$10</f>
        <v>-3.8655072984220364E-2</v>
      </c>
      <c r="L21" s="1160">
        <v>-1521214.8439999998</v>
      </c>
      <c r="M21" s="1160">
        <f>+L21/$L$3</f>
        <v>-461477.62528819311</v>
      </c>
      <c r="N21" s="1120">
        <f t="shared" ref="N21:N23" si="5">+M21/$M$10</f>
        <v>-3.5699794448243199E-2</v>
      </c>
      <c r="O21" s="1110"/>
      <c r="P21" s="1160">
        <f t="shared" si="0"/>
        <v>-108289.59400000027</v>
      </c>
      <c r="Q21" s="1160">
        <f t="shared" si="0"/>
        <v>-38201.758355362806</v>
      </c>
      <c r="R21" s="1119">
        <f t="shared" ref="R21:R23" si="6">-Q21/M21</f>
        <v>-8.2781388006635814E-2</v>
      </c>
      <c r="S21" s="1121"/>
      <c r="T21" s="1112"/>
      <c r="U21" s="1122"/>
      <c r="V21" s="1122"/>
      <c r="W21" s="1161">
        <f>+Q21</f>
        <v>-38201.758355362806</v>
      </c>
      <c r="X21" s="1116" t="s">
        <v>2223</v>
      </c>
    </row>
    <row r="22" spans="8:34">
      <c r="H22" s="1056" t="s">
        <v>585</v>
      </c>
      <c r="I22" s="1035">
        <v>54705.123</v>
      </c>
      <c r="J22" s="1035">
        <f>+I22/$I$3</f>
        <v>16775.052282972003</v>
      </c>
      <c r="K22" s="1076">
        <f t="shared" si="4"/>
        <v>1.2977138772148295E-3</v>
      </c>
      <c r="L22" s="1077">
        <v>48504.292000000001</v>
      </c>
      <c r="M22" s="1077">
        <f>+L22/$L$3</f>
        <v>14714.322290984102</v>
      </c>
      <c r="N22" s="1078">
        <f t="shared" si="5"/>
        <v>1.1382963169780686E-3</v>
      </c>
      <c r="O22" s="1162"/>
      <c r="P22" s="1077">
        <f t="shared" si="0"/>
        <v>6200.8309999999983</v>
      </c>
      <c r="Q22" s="1077">
        <f t="shared" si="0"/>
        <v>2060.7299919879006</v>
      </c>
      <c r="R22" s="1076">
        <f t="shared" si="6"/>
        <v>-0.14004926297221112</v>
      </c>
      <c r="S22" s="1098"/>
    </row>
    <row r="23" spans="8:34">
      <c r="H23" s="1144" t="s">
        <v>586</v>
      </c>
      <c r="I23" s="1145">
        <v>-21957.800999999999</v>
      </c>
      <c r="J23" s="1145">
        <f>+I23/$I$3</f>
        <v>-6733.2498236791271</v>
      </c>
      <c r="K23" s="1146">
        <f t="shared" si="4"/>
        <v>-5.2088253363074719E-4</v>
      </c>
      <c r="L23" s="1147">
        <v>-50417.701000000001</v>
      </c>
      <c r="M23" s="1147">
        <f>+L23/$L$3</f>
        <v>-15294.776422764227</v>
      </c>
      <c r="N23" s="1148">
        <f t="shared" si="5"/>
        <v>-1.1832001044114096E-3</v>
      </c>
      <c r="O23" s="1163"/>
      <c r="P23" s="1147">
        <f t="shared" si="0"/>
        <v>28459.9</v>
      </c>
      <c r="Q23" s="1147">
        <f t="shared" si="0"/>
        <v>8561.5265990851003</v>
      </c>
      <c r="R23" s="1146">
        <f t="shared" si="6"/>
        <v>0.55976801245308916</v>
      </c>
      <c r="S23" s="1150"/>
      <c r="T23" s="1149"/>
      <c r="U23" s="1151"/>
      <c r="V23" s="1151"/>
      <c r="W23" s="1151"/>
      <c r="X23" s="1149"/>
    </row>
    <row r="24" spans="8:34" s="1103" customFormat="1">
      <c r="H24" s="1164" t="s">
        <v>529</v>
      </c>
      <c r="I24" s="1165">
        <f>SUM(I20:I23)</f>
        <v>3290239.2269564024</v>
      </c>
      <c r="J24" s="1165">
        <f>SUM(J20:J23)</f>
        <v>1008935.3981651607</v>
      </c>
      <c r="K24" s="1166">
        <f>+J24/$J$10</f>
        <v>6.9426921245957049E-2</v>
      </c>
      <c r="L24" s="1165">
        <f>SUM(L20:L23)</f>
        <v>4582679.7704707589</v>
      </c>
      <c r="M24" s="1165">
        <f>SUM(M20:M23)</f>
        <v>1390207.4294596403</v>
      </c>
      <c r="N24" s="1167">
        <f>+M24/$M$10</f>
        <v>0.10754610137628162</v>
      </c>
      <c r="O24" s="1086"/>
      <c r="P24" s="1165">
        <f t="shared" si="0"/>
        <v>-1292440.5435143565</v>
      </c>
      <c r="Q24" s="1165">
        <f t="shared" si="0"/>
        <v>-381272.03129447962</v>
      </c>
      <c r="R24" s="1167">
        <f>Q24/M24</f>
        <v>-0.27425549829112639</v>
      </c>
      <c r="S24" s="1168"/>
      <c r="T24" s="1086"/>
      <c r="U24" s="1169"/>
      <c r="V24" s="1170"/>
      <c r="W24" s="1169"/>
      <c r="X24" s="1171"/>
      <c r="Y24" s="766"/>
      <c r="Z24" s="766"/>
    </row>
    <row r="25" spans="8:34">
      <c r="H25" s="1125" t="s">
        <v>587</v>
      </c>
      <c r="I25" s="1035">
        <v>-454321.35979999998</v>
      </c>
      <c r="J25" s="1035">
        <f>+I25/$I$3</f>
        <v>-139315.37205237497</v>
      </c>
      <c r="K25" s="1076"/>
      <c r="L25" s="1035">
        <v>-452912.4</v>
      </c>
      <c r="M25" s="1035">
        <f>+L25/$L$3</f>
        <v>-137396.06843829632</v>
      </c>
      <c r="N25" s="1078"/>
      <c r="P25" s="1077">
        <f t="shared" si="0"/>
        <v>-1408.9597999999532</v>
      </c>
      <c r="Q25" s="1035">
        <f t="shared" si="0"/>
        <v>-1919.3036140786426</v>
      </c>
      <c r="R25" s="1078">
        <v>-1</v>
      </c>
      <c r="S25" s="1079"/>
    </row>
    <row r="26" spans="8:34" s="1103" customFormat="1">
      <c r="H26" s="1152" t="s">
        <v>588</v>
      </c>
      <c r="I26" s="1153">
        <f>SUM(I24:I25)</f>
        <v>2835917.8671564022</v>
      </c>
      <c r="J26" s="1153">
        <f>SUM(J24:J25)</f>
        <v>869620.02611278568</v>
      </c>
      <c r="K26" s="1154">
        <f>+J26/$J$10</f>
        <v>5.9840343768924054E-2</v>
      </c>
      <c r="L26" s="1153">
        <f>SUM(L24:L25)</f>
        <v>4129767.370470759</v>
      </c>
      <c r="M26" s="1153">
        <f>SUM(M24:M25)</f>
        <v>1252811.3610213441</v>
      </c>
      <c r="N26" s="1155">
        <f>+M26/$M$10</f>
        <v>9.6917175654951698E-2</v>
      </c>
      <c r="O26" s="766"/>
      <c r="P26" s="1153">
        <f t="shared" si="0"/>
        <v>-1293849.5033143568</v>
      </c>
      <c r="Q26" s="1153">
        <f t="shared" si="0"/>
        <v>-383191.33490855841</v>
      </c>
      <c r="R26" s="1155">
        <f>Q26/M26</f>
        <v>-0.3058651500383624</v>
      </c>
      <c r="S26" s="1156"/>
      <c r="T26" s="766"/>
      <c r="U26" s="1157"/>
      <c r="V26" s="1172"/>
      <c r="W26" s="1039"/>
      <c r="X26" s="766"/>
      <c r="Y26" s="766"/>
      <c r="Z26" s="766"/>
    </row>
    <row r="27" spans="8:34">
      <c r="H27" s="1125"/>
      <c r="I27" s="1126"/>
      <c r="J27" s="1126"/>
      <c r="K27" s="1173"/>
      <c r="L27" s="1174"/>
      <c r="M27" s="1174"/>
      <c r="N27" s="1175"/>
      <c r="P27" s="1174"/>
      <c r="Q27" s="1174"/>
      <c r="R27" s="1175"/>
      <c r="S27" s="1176"/>
    </row>
    <row r="28" spans="8:34">
      <c r="H28" s="1152" t="s">
        <v>589</v>
      </c>
      <c r="I28" s="1153">
        <f>SUM(I26:I27)</f>
        <v>2835917.8671564022</v>
      </c>
      <c r="J28" s="1153">
        <f>SUM(J26:J27)</f>
        <v>869620.02611278568</v>
      </c>
      <c r="K28" s="1154">
        <f>+J28/$J$10</f>
        <v>5.9840343768924054E-2</v>
      </c>
      <c r="L28" s="1153">
        <f>SUM(L26:L27)</f>
        <v>4129767.370470759</v>
      </c>
      <c r="M28" s="1153">
        <f>SUM(M26:M27)</f>
        <v>1252811.3610213441</v>
      </c>
      <c r="N28" s="1155">
        <f>+M28/$M$10</f>
        <v>9.6917175654951698E-2</v>
      </c>
      <c r="P28" s="1153">
        <f t="shared" ref="P28:Q30" si="7">I28-L28</f>
        <v>-1293849.5033143568</v>
      </c>
      <c r="Q28" s="1153">
        <f t="shared" si="7"/>
        <v>-383191.33490855841</v>
      </c>
      <c r="R28" s="1155">
        <f>Q28/M28</f>
        <v>-0.3058651500383624</v>
      </c>
      <c r="S28" s="1156"/>
      <c r="X28" s="1177"/>
    </row>
    <row r="29" spans="8:34">
      <c r="H29" s="1178" t="s">
        <v>590</v>
      </c>
      <c r="I29" s="765">
        <v>-305190.44626528956</v>
      </c>
      <c r="J29" s="765">
        <f>+I29/$I$3</f>
        <v>-93585.123505961048</v>
      </c>
      <c r="K29" s="1179"/>
      <c r="L29" s="765">
        <v>-27903.94040240546</v>
      </c>
      <c r="M29" s="765">
        <f>+L29/$L$3</f>
        <v>-8464.9740330073582</v>
      </c>
      <c r="N29" s="1128"/>
      <c r="P29" s="765">
        <f t="shared" si="7"/>
        <v>-277286.50586288411</v>
      </c>
      <c r="Q29" s="765">
        <f t="shared" si="7"/>
        <v>-85120.149472953693</v>
      </c>
      <c r="R29" s="1078">
        <f t="shared" ref="R29:R30" si="8">Q29/M29</f>
        <v>10.055571244642435</v>
      </c>
      <c r="S29" s="1079"/>
    </row>
    <row r="30" spans="8:34">
      <c r="H30" s="1178" t="s">
        <v>591</v>
      </c>
      <c r="I30" s="765">
        <v>3159186.4744216818</v>
      </c>
      <c r="J30" s="765">
        <f>+I30/$I$3</f>
        <v>968748.72724592371</v>
      </c>
      <c r="K30" s="1179"/>
      <c r="L30" s="765">
        <v>4738671.3108731639</v>
      </c>
      <c r="M30" s="765">
        <f>+L30/$L$3</f>
        <v>1437529.2169861556</v>
      </c>
      <c r="N30" s="1128"/>
      <c r="P30" s="765">
        <f t="shared" si="7"/>
        <v>-1579484.836451482</v>
      </c>
      <c r="Q30" s="765">
        <f t="shared" si="7"/>
        <v>-468780.48974023189</v>
      </c>
      <c r="R30" s="1078">
        <f t="shared" si="8"/>
        <v>-0.32610153880771287</v>
      </c>
      <c r="S30" s="1079"/>
    </row>
    <row r="31" spans="8:34" ht="15.75" thickBot="1">
      <c r="H31" s="1180"/>
      <c r="I31" s="1181"/>
      <c r="J31" s="1181"/>
      <c r="K31" s="1182"/>
      <c r="L31" s="1183"/>
      <c r="M31" s="1184"/>
      <c r="N31" s="1185"/>
      <c r="O31" s="1186"/>
      <c r="P31" s="1186"/>
      <c r="Q31" s="1186"/>
      <c r="R31" s="1186"/>
      <c r="S31" s="1187"/>
    </row>
    <row r="32" spans="8:34">
      <c r="K32" s="1188"/>
      <c r="M32" s="1189"/>
      <c r="N32" s="1141"/>
    </row>
    <row r="33" spans="10:26">
      <c r="K33" s="1188"/>
      <c r="M33" s="1189"/>
      <c r="N33" s="1141"/>
    </row>
    <row r="34" spans="10:26">
      <c r="K34" s="1188"/>
      <c r="M34" s="1189"/>
      <c r="N34" s="1141"/>
    </row>
    <row r="35" spans="10:26">
      <c r="K35" s="1188"/>
      <c r="M35" s="1189"/>
      <c r="N35" s="1141"/>
    </row>
    <row r="36" spans="10:26">
      <c r="K36" s="1188"/>
      <c r="M36" s="1189"/>
      <c r="N36" s="1141"/>
    </row>
    <row r="37" spans="10:26">
      <c r="K37" s="1188"/>
      <c r="M37" s="1189"/>
      <c r="N37" s="1141"/>
    </row>
    <row r="38" spans="10:26">
      <c r="K38" s="1188"/>
      <c r="M38" s="1189"/>
      <c r="N38" s="1141"/>
    </row>
    <row r="39" spans="10:26">
      <c r="K39" s="1188"/>
      <c r="M39" s="1189"/>
      <c r="N39" s="1141"/>
    </row>
    <row r="40" spans="10:26">
      <c r="K40" s="1188"/>
      <c r="M40" s="1189"/>
      <c r="N40" s="1141"/>
    </row>
    <row r="41" spans="10:26">
      <c r="K41" s="1188"/>
      <c r="M41" s="1189"/>
      <c r="N41" s="1141"/>
      <c r="Z41" s="766">
        <f>U41/6</f>
        <v>0</v>
      </c>
    </row>
    <row r="42" spans="10:26">
      <c r="K42" s="1188"/>
      <c r="M42" s="1189"/>
      <c r="N42" s="1141"/>
    </row>
    <row r="43" spans="10:26">
      <c r="K43" s="1188"/>
      <c r="M43" s="1189"/>
      <c r="N43" s="1141"/>
    </row>
    <row r="44" spans="10:26">
      <c r="J44" s="1063">
        <f>(J12+J11)/J10</f>
        <v>-0.6230880021838161</v>
      </c>
      <c r="K44" s="1188"/>
      <c r="M44" s="1063">
        <f>(M12+M11)/M10</f>
        <v>-0.61312834470295507</v>
      </c>
      <c r="N44" s="1141"/>
    </row>
    <row r="45" spans="10:26">
      <c r="K45" s="1188"/>
      <c r="M45" s="1189"/>
      <c r="N45" s="1141"/>
    </row>
  </sheetData>
  <mergeCells count="6">
    <mergeCell ref="P5:R5"/>
    <mergeCell ref="H5:H6"/>
    <mergeCell ref="I5:J5"/>
    <mergeCell ref="K5:K6"/>
    <mergeCell ref="L5:M5"/>
    <mergeCell ref="N5:N6"/>
  </mergeCell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9D28CB-C6A8-4F13-85DC-041A64E83267}">
  <dimension ref="A1:E34"/>
  <sheetViews>
    <sheetView topLeftCell="A7" zoomScale="80" zoomScaleNormal="80" workbookViewId="0">
      <selection activeCell="C47" sqref="C47"/>
    </sheetView>
  </sheetViews>
  <sheetFormatPr baseColWidth="10" defaultColWidth="11.25" defaultRowHeight="15.75"/>
  <cols>
    <col min="1" max="1" width="5.75" customWidth="1"/>
    <col min="2" max="2" width="42.5" bestFit="1" customWidth="1"/>
    <col min="3" max="4" width="14" style="709" bestFit="1" customWidth="1"/>
    <col min="5" max="5" width="28.125" bestFit="1" customWidth="1"/>
  </cols>
  <sheetData>
    <row r="1" spans="1:5">
      <c r="A1" s="1"/>
      <c r="B1" s="1"/>
      <c r="C1" s="711">
        <v>44926</v>
      </c>
      <c r="D1" s="711">
        <v>44561</v>
      </c>
    </row>
    <row r="3" spans="1:5">
      <c r="A3" t="s">
        <v>1950</v>
      </c>
    </row>
    <row r="4" spans="1:5">
      <c r="B4" t="s">
        <v>1951</v>
      </c>
      <c r="C4" s="709">
        <v>39582068.364</v>
      </c>
      <c r="D4" s="709">
        <v>32989802.533</v>
      </c>
      <c r="E4" s="627" t="s">
        <v>597</v>
      </c>
    </row>
    <row r="5" spans="1:5">
      <c r="B5" t="s">
        <v>1952</v>
      </c>
      <c r="C5" s="709">
        <v>90606.028000000006</v>
      </c>
      <c r="D5" s="709">
        <v>55000</v>
      </c>
      <c r="E5" s="627" t="s">
        <v>597</v>
      </c>
    </row>
    <row r="6" spans="1:5">
      <c r="B6" t="s">
        <v>1953</v>
      </c>
    </row>
    <row r="7" spans="1:5" s="1" customFormat="1">
      <c r="A7" s="1" t="s">
        <v>1954</v>
      </c>
      <c r="C7" s="712">
        <v>39672674.391999997</v>
      </c>
      <c r="D7" s="712">
        <v>33044802.533</v>
      </c>
    </row>
    <row r="9" spans="1:5">
      <c r="A9" t="s">
        <v>1955</v>
      </c>
    </row>
    <row r="10" spans="1:5">
      <c r="B10" t="s">
        <v>1956</v>
      </c>
      <c r="C10" s="709">
        <v>-34494670.881000005</v>
      </c>
      <c r="D10" s="709">
        <v>-29258377.162</v>
      </c>
      <c r="E10" s="489" t="s">
        <v>572</v>
      </c>
    </row>
    <row r="11" spans="1:5" hidden="1">
      <c r="B11" t="s">
        <v>1957</v>
      </c>
      <c r="C11" s="709">
        <v>0</v>
      </c>
      <c r="D11" s="709">
        <v>0</v>
      </c>
      <c r="E11" s="489"/>
    </row>
    <row r="12" spans="1:5">
      <c r="B12" t="s">
        <v>1958</v>
      </c>
      <c r="C12" s="709">
        <v>-1276755.9190000002</v>
      </c>
      <c r="D12" s="709">
        <v>-771912.29999999993</v>
      </c>
      <c r="E12" s="489" t="s">
        <v>578</v>
      </c>
    </row>
    <row r="13" spans="1:5">
      <c r="B13" t="s">
        <v>1972</v>
      </c>
      <c r="C13" s="709">
        <f>-360118.015-C14</f>
        <v>-172777.60500000001</v>
      </c>
      <c r="D13" s="709">
        <v>-158209.361</v>
      </c>
      <c r="E13" s="489" t="s">
        <v>580</v>
      </c>
    </row>
    <row r="14" spans="1:5">
      <c r="B14" t="s">
        <v>1971</v>
      </c>
      <c r="C14" s="709">
        <v>-187340.41</v>
      </c>
      <c r="D14" s="709">
        <f>-247323.56-581000</f>
        <v>-828323.56</v>
      </c>
      <c r="E14" s="489" t="s">
        <v>2018</v>
      </c>
    </row>
    <row r="15" spans="1:5">
      <c r="B15" t="s">
        <v>1959</v>
      </c>
      <c r="C15" s="709">
        <v>-1264260.3000499995</v>
      </c>
      <c r="D15" s="709">
        <v>-963508.4870000002</v>
      </c>
      <c r="E15" s="489" t="s">
        <v>579</v>
      </c>
    </row>
    <row r="16" spans="1:5" s="1" customFormat="1">
      <c r="A16" s="1" t="s">
        <v>1960</v>
      </c>
      <c r="C16" s="712">
        <f>SUM(C10:C15)</f>
        <v>-37395805.115049995</v>
      </c>
      <c r="D16" s="712">
        <f>SUM(D10:D15)</f>
        <v>-31980330.870000001</v>
      </c>
      <c r="E16" s="713"/>
    </row>
    <row r="17" spans="1:5">
      <c r="E17" s="710"/>
    </row>
    <row r="18" spans="1:5">
      <c r="A18" t="s">
        <v>1961</v>
      </c>
      <c r="C18" s="709">
        <f>+C7+C16</f>
        <v>2276869.2769500017</v>
      </c>
      <c r="D18" s="709">
        <f>+D7+D16</f>
        <v>1064471.6629999988</v>
      </c>
      <c r="E18" s="710"/>
    </row>
    <row r="19" spans="1:5">
      <c r="E19" s="710"/>
    </row>
    <row r="20" spans="1:5">
      <c r="E20" s="710"/>
    </row>
    <row r="21" spans="1:5">
      <c r="B21" t="s">
        <v>1962</v>
      </c>
      <c r="C21" s="709">
        <v>-342233.66900000005</v>
      </c>
      <c r="D21" s="709">
        <v>-204066.59599999999</v>
      </c>
      <c r="E21" s="489" t="s">
        <v>584</v>
      </c>
    </row>
    <row r="22" spans="1:5">
      <c r="B22" t="s">
        <v>1963</v>
      </c>
      <c r="C22" s="709">
        <v>651.41200000000003</v>
      </c>
      <c r="D22" s="709">
        <v>0</v>
      </c>
      <c r="E22" s="489" t="s">
        <v>584</v>
      </c>
    </row>
    <row r="23" spans="1:5">
      <c r="B23" t="s">
        <v>1964</v>
      </c>
      <c r="C23" s="709">
        <v>38230.381999999998</v>
      </c>
      <c r="D23" s="709">
        <v>33893.792000000001</v>
      </c>
      <c r="E23" s="489" t="s">
        <v>585</v>
      </c>
    </row>
    <row r="24" spans="1:5">
      <c r="B24" t="s">
        <v>1965</v>
      </c>
      <c r="C24" s="709">
        <v>-818.08699999999999</v>
      </c>
      <c r="D24" s="709">
        <v>-22812.038</v>
      </c>
      <c r="E24" s="489" t="s">
        <v>586</v>
      </c>
    </row>
    <row r="26" spans="1:5">
      <c r="A26" t="s">
        <v>1966</v>
      </c>
      <c r="C26" s="709">
        <f>SUM(C18:C24)</f>
        <v>1972699.3149500017</v>
      </c>
      <c r="D26" s="709">
        <f>SUM(D18:D24)</f>
        <v>871486.82099999883</v>
      </c>
    </row>
    <row r="27" spans="1:5">
      <c r="B27" t="s">
        <v>1967</v>
      </c>
      <c r="C27" s="709">
        <v>-336337.31024999899</v>
      </c>
      <c r="D27" s="709">
        <v>-261003.3</v>
      </c>
    </row>
    <row r="28" spans="1:5">
      <c r="A28" t="s">
        <v>1968</v>
      </c>
      <c r="C28" s="709">
        <f>SUM(C26:C27)</f>
        <v>1636362.0047000027</v>
      </c>
      <c r="D28" s="709">
        <f>SUM(D26:D27)</f>
        <v>610483.52099999879</v>
      </c>
    </row>
    <row r="30" spans="1:5">
      <c r="B30" t="s">
        <v>1969</v>
      </c>
      <c r="C30" s="709">
        <v>0</v>
      </c>
      <c r="D30" s="709">
        <v>0</v>
      </c>
    </row>
    <row r="32" spans="1:5">
      <c r="A32" t="s">
        <v>1970</v>
      </c>
      <c r="C32" s="709">
        <f>+C30+C28</f>
        <v>1636362.0047000027</v>
      </c>
      <c r="D32" s="709">
        <f>+D30+D28</f>
        <v>610483.52099999879</v>
      </c>
    </row>
    <row r="34" spans="1:4">
      <c r="A34" t="s">
        <v>1970</v>
      </c>
      <c r="C34" s="709">
        <f>+C32</f>
        <v>1636362.0047000027</v>
      </c>
      <c r="D34" s="709">
        <f>+D32</f>
        <v>610483.52099999879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6E054B-4C5E-4FCB-A46B-5FB656D7361E}">
  <dimension ref="C2:AB44"/>
  <sheetViews>
    <sheetView showGridLines="0" zoomScale="83" zoomScaleNormal="83" workbookViewId="0">
      <pane ySplit="6" topLeftCell="A7" activePane="bottomLeft" state="frozen"/>
      <selection activeCell="C47" sqref="C47"/>
      <selection pane="bottomLeft" activeCell="C47" sqref="C47"/>
    </sheetView>
  </sheetViews>
  <sheetFormatPr baseColWidth="10" defaultColWidth="9.375" defaultRowHeight="15"/>
  <cols>
    <col min="1" max="1" width="9.375" style="430"/>
    <col min="2" max="2" width="6.875" style="430" customWidth="1"/>
    <col min="3" max="3" width="27.375" style="430" bestFit="1" customWidth="1"/>
    <col min="4" max="4" width="9.875" style="542" bestFit="1" customWidth="1"/>
    <col min="5" max="5" width="9" style="542" customWidth="1"/>
    <col min="6" max="6" width="9" style="592" customWidth="1"/>
    <col min="7" max="7" width="9.875" style="542" bestFit="1" customWidth="1"/>
    <col min="8" max="8" width="9" style="593" customWidth="1"/>
    <col min="9" max="9" width="9" style="594" customWidth="1"/>
    <col min="10" max="10" width="2.5" style="546" customWidth="1"/>
    <col min="11" max="13" width="9" style="546" customWidth="1"/>
    <col min="14" max="14" width="2.875" style="430" customWidth="1"/>
    <col min="15" max="15" width="6.5" style="430" customWidth="1"/>
    <col min="16" max="16" width="6.875" style="517" customWidth="1"/>
    <col min="17" max="17" width="9.625" style="430" customWidth="1"/>
    <col min="18" max="18" width="36.875" style="430" customWidth="1"/>
    <col min="19" max="19" width="11.125" style="430" customWidth="1"/>
    <col min="20" max="20" width="9.5" style="430" customWidth="1"/>
    <col min="21" max="21" width="9.375" style="430" bestFit="1" customWidth="1"/>
    <col min="22" max="23" width="13.375" style="430" bestFit="1" customWidth="1"/>
    <col min="24" max="24" width="9.375" style="430"/>
    <col min="25" max="25" width="15.875" style="430" bestFit="1" customWidth="1"/>
    <col min="26" max="28" width="11" style="430" bestFit="1" customWidth="1"/>
    <col min="29" max="266" width="9.375" style="430"/>
    <col min="267" max="267" width="1.5" style="430" customWidth="1"/>
    <col min="268" max="268" width="56.625" style="430" bestFit="1" customWidth="1"/>
    <col min="269" max="269" width="5.375" style="430" customWidth="1"/>
    <col min="270" max="270" width="17" style="430" bestFit="1" customWidth="1"/>
    <col min="271" max="271" width="16.875" style="430" customWidth="1"/>
    <col min="272" max="272" width="6" style="430" bestFit="1" customWidth="1"/>
    <col min="273" max="273" width="11.125" style="430" bestFit="1" customWidth="1"/>
    <col min="274" max="274" width="16.875" style="430" customWidth="1"/>
    <col min="275" max="275" width="6" style="430" bestFit="1" customWidth="1"/>
    <col min="276" max="277" width="9.375" style="430"/>
    <col min="278" max="279" width="13.125" style="430" bestFit="1" customWidth="1"/>
    <col min="280" max="280" width="9.375" style="430"/>
    <col min="281" max="281" width="15.875" style="430" bestFit="1" customWidth="1"/>
    <col min="282" max="284" width="10.875" style="430" bestFit="1" customWidth="1"/>
    <col min="285" max="522" width="9.375" style="430"/>
    <col min="523" max="523" width="1.5" style="430" customWidth="1"/>
    <col min="524" max="524" width="56.625" style="430" bestFit="1" customWidth="1"/>
    <col min="525" max="525" width="5.375" style="430" customWidth="1"/>
    <col min="526" max="526" width="17" style="430" bestFit="1" customWidth="1"/>
    <col min="527" max="527" width="16.875" style="430" customWidth="1"/>
    <col min="528" max="528" width="6" style="430" bestFit="1" customWidth="1"/>
    <col min="529" max="529" width="11.125" style="430" bestFit="1" customWidth="1"/>
    <col min="530" max="530" width="16.875" style="430" customWidth="1"/>
    <col min="531" max="531" width="6" style="430" bestFit="1" customWidth="1"/>
    <col min="532" max="533" width="9.375" style="430"/>
    <col min="534" max="535" width="13.125" style="430" bestFit="1" customWidth="1"/>
    <col min="536" max="536" width="9.375" style="430"/>
    <col min="537" max="537" width="15.875" style="430" bestFit="1" customWidth="1"/>
    <col min="538" max="540" width="10.875" style="430" bestFit="1" customWidth="1"/>
    <col min="541" max="778" width="9.375" style="430"/>
    <col min="779" max="779" width="1.5" style="430" customWidth="1"/>
    <col min="780" max="780" width="56.625" style="430" bestFit="1" customWidth="1"/>
    <col min="781" max="781" width="5.375" style="430" customWidth="1"/>
    <col min="782" max="782" width="17" style="430" bestFit="1" customWidth="1"/>
    <col min="783" max="783" width="16.875" style="430" customWidth="1"/>
    <col min="784" max="784" width="6" style="430" bestFit="1" customWidth="1"/>
    <col min="785" max="785" width="11.125" style="430" bestFit="1" customWidth="1"/>
    <col min="786" max="786" width="16.875" style="430" customWidth="1"/>
    <col min="787" max="787" width="6" style="430" bestFit="1" customWidth="1"/>
    <col min="788" max="789" width="9.375" style="430"/>
    <col min="790" max="791" width="13.125" style="430" bestFit="1" customWidth="1"/>
    <col min="792" max="792" width="9.375" style="430"/>
    <col min="793" max="793" width="15.875" style="430" bestFit="1" customWidth="1"/>
    <col min="794" max="796" width="10.875" style="430" bestFit="1" customWidth="1"/>
    <col min="797" max="1034" width="9.375" style="430"/>
    <col min="1035" max="1035" width="1.5" style="430" customWidth="1"/>
    <col min="1036" max="1036" width="56.625" style="430" bestFit="1" customWidth="1"/>
    <col min="1037" max="1037" width="5.375" style="430" customWidth="1"/>
    <col min="1038" max="1038" width="17" style="430" bestFit="1" customWidth="1"/>
    <col min="1039" max="1039" width="16.875" style="430" customWidth="1"/>
    <col min="1040" max="1040" width="6" style="430" bestFit="1" customWidth="1"/>
    <col min="1041" max="1041" width="11.125" style="430" bestFit="1" customWidth="1"/>
    <col min="1042" max="1042" width="16.875" style="430" customWidth="1"/>
    <col min="1043" max="1043" width="6" style="430" bestFit="1" customWidth="1"/>
    <col min="1044" max="1045" width="9.375" style="430"/>
    <col min="1046" max="1047" width="13.125" style="430" bestFit="1" customWidth="1"/>
    <col min="1048" max="1048" width="9.375" style="430"/>
    <col min="1049" max="1049" width="15.875" style="430" bestFit="1" customWidth="1"/>
    <col min="1050" max="1052" width="10.875" style="430" bestFit="1" customWidth="1"/>
    <col min="1053" max="1290" width="9.375" style="430"/>
    <col min="1291" max="1291" width="1.5" style="430" customWidth="1"/>
    <col min="1292" max="1292" width="56.625" style="430" bestFit="1" customWidth="1"/>
    <col min="1293" max="1293" width="5.375" style="430" customWidth="1"/>
    <col min="1294" max="1294" width="17" style="430" bestFit="1" customWidth="1"/>
    <col min="1295" max="1295" width="16.875" style="430" customWidth="1"/>
    <col min="1296" max="1296" width="6" style="430" bestFit="1" customWidth="1"/>
    <col min="1297" max="1297" width="11.125" style="430" bestFit="1" customWidth="1"/>
    <col min="1298" max="1298" width="16.875" style="430" customWidth="1"/>
    <col min="1299" max="1299" width="6" style="430" bestFit="1" customWidth="1"/>
    <col min="1300" max="1301" width="9.375" style="430"/>
    <col min="1302" max="1303" width="13.125" style="430" bestFit="1" customWidth="1"/>
    <col min="1304" max="1304" width="9.375" style="430"/>
    <col min="1305" max="1305" width="15.875" style="430" bestFit="1" customWidth="1"/>
    <col min="1306" max="1308" width="10.875" style="430" bestFit="1" customWidth="1"/>
    <col min="1309" max="1546" width="9.375" style="430"/>
    <col min="1547" max="1547" width="1.5" style="430" customWidth="1"/>
    <col min="1548" max="1548" width="56.625" style="430" bestFit="1" customWidth="1"/>
    <col min="1549" max="1549" width="5.375" style="430" customWidth="1"/>
    <col min="1550" max="1550" width="17" style="430" bestFit="1" customWidth="1"/>
    <col min="1551" max="1551" width="16.875" style="430" customWidth="1"/>
    <col min="1552" max="1552" width="6" style="430" bestFit="1" customWidth="1"/>
    <col min="1553" max="1553" width="11.125" style="430" bestFit="1" customWidth="1"/>
    <col min="1554" max="1554" width="16.875" style="430" customWidth="1"/>
    <col min="1555" max="1555" width="6" style="430" bestFit="1" customWidth="1"/>
    <col min="1556" max="1557" width="9.375" style="430"/>
    <col min="1558" max="1559" width="13.125" style="430" bestFit="1" customWidth="1"/>
    <col min="1560" max="1560" width="9.375" style="430"/>
    <col min="1561" max="1561" width="15.875" style="430" bestFit="1" customWidth="1"/>
    <col min="1562" max="1564" width="10.875" style="430" bestFit="1" customWidth="1"/>
    <col min="1565" max="1802" width="9.375" style="430"/>
    <col min="1803" max="1803" width="1.5" style="430" customWidth="1"/>
    <col min="1804" max="1804" width="56.625" style="430" bestFit="1" customWidth="1"/>
    <col min="1805" max="1805" width="5.375" style="430" customWidth="1"/>
    <col min="1806" max="1806" width="17" style="430" bestFit="1" customWidth="1"/>
    <col min="1807" max="1807" width="16.875" style="430" customWidth="1"/>
    <col min="1808" max="1808" width="6" style="430" bestFit="1" customWidth="1"/>
    <col min="1809" max="1809" width="11.125" style="430" bestFit="1" customWidth="1"/>
    <col min="1810" max="1810" width="16.875" style="430" customWidth="1"/>
    <col min="1811" max="1811" width="6" style="430" bestFit="1" customWidth="1"/>
    <col min="1812" max="1813" width="9.375" style="430"/>
    <col min="1814" max="1815" width="13.125" style="430" bestFit="1" customWidth="1"/>
    <col min="1816" max="1816" width="9.375" style="430"/>
    <col min="1817" max="1817" width="15.875" style="430" bestFit="1" customWidth="1"/>
    <col min="1818" max="1820" width="10.875" style="430" bestFit="1" customWidth="1"/>
    <col min="1821" max="2058" width="9.375" style="430"/>
    <col min="2059" max="2059" width="1.5" style="430" customWidth="1"/>
    <col min="2060" max="2060" width="56.625" style="430" bestFit="1" customWidth="1"/>
    <col min="2061" max="2061" width="5.375" style="430" customWidth="1"/>
    <col min="2062" max="2062" width="17" style="430" bestFit="1" customWidth="1"/>
    <col min="2063" max="2063" width="16.875" style="430" customWidth="1"/>
    <col min="2064" max="2064" width="6" style="430" bestFit="1" customWidth="1"/>
    <col min="2065" max="2065" width="11.125" style="430" bestFit="1" customWidth="1"/>
    <col min="2066" max="2066" width="16.875" style="430" customWidth="1"/>
    <col min="2067" max="2067" width="6" style="430" bestFit="1" customWidth="1"/>
    <col min="2068" max="2069" width="9.375" style="430"/>
    <col min="2070" max="2071" width="13.125" style="430" bestFit="1" customWidth="1"/>
    <col min="2072" max="2072" width="9.375" style="430"/>
    <col min="2073" max="2073" width="15.875" style="430" bestFit="1" customWidth="1"/>
    <col min="2074" max="2076" width="10.875" style="430" bestFit="1" customWidth="1"/>
    <col min="2077" max="2314" width="9.375" style="430"/>
    <col min="2315" max="2315" width="1.5" style="430" customWidth="1"/>
    <col min="2316" max="2316" width="56.625" style="430" bestFit="1" customWidth="1"/>
    <col min="2317" max="2317" width="5.375" style="430" customWidth="1"/>
    <col min="2318" max="2318" width="17" style="430" bestFit="1" customWidth="1"/>
    <col min="2319" max="2319" width="16.875" style="430" customWidth="1"/>
    <col min="2320" max="2320" width="6" style="430" bestFit="1" customWidth="1"/>
    <col min="2321" max="2321" width="11.125" style="430" bestFit="1" customWidth="1"/>
    <col min="2322" max="2322" width="16.875" style="430" customWidth="1"/>
    <col min="2323" max="2323" width="6" style="430" bestFit="1" customWidth="1"/>
    <col min="2324" max="2325" width="9.375" style="430"/>
    <col min="2326" max="2327" width="13.125" style="430" bestFit="1" customWidth="1"/>
    <col min="2328" max="2328" width="9.375" style="430"/>
    <col min="2329" max="2329" width="15.875" style="430" bestFit="1" customWidth="1"/>
    <col min="2330" max="2332" width="10.875" style="430" bestFit="1" customWidth="1"/>
    <col min="2333" max="2570" width="9.375" style="430"/>
    <col min="2571" max="2571" width="1.5" style="430" customWidth="1"/>
    <col min="2572" max="2572" width="56.625" style="430" bestFit="1" customWidth="1"/>
    <col min="2573" max="2573" width="5.375" style="430" customWidth="1"/>
    <col min="2574" max="2574" width="17" style="430" bestFit="1" customWidth="1"/>
    <col min="2575" max="2575" width="16.875" style="430" customWidth="1"/>
    <col min="2576" max="2576" width="6" style="430" bestFit="1" customWidth="1"/>
    <col min="2577" max="2577" width="11.125" style="430" bestFit="1" customWidth="1"/>
    <col min="2578" max="2578" width="16.875" style="430" customWidth="1"/>
    <col min="2579" max="2579" width="6" style="430" bestFit="1" customWidth="1"/>
    <col min="2580" max="2581" width="9.375" style="430"/>
    <col min="2582" max="2583" width="13.125" style="430" bestFit="1" customWidth="1"/>
    <col min="2584" max="2584" width="9.375" style="430"/>
    <col min="2585" max="2585" width="15.875" style="430" bestFit="1" customWidth="1"/>
    <col min="2586" max="2588" width="10.875" style="430" bestFit="1" customWidth="1"/>
    <col min="2589" max="2826" width="9.375" style="430"/>
    <col min="2827" max="2827" width="1.5" style="430" customWidth="1"/>
    <col min="2828" max="2828" width="56.625" style="430" bestFit="1" customWidth="1"/>
    <col min="2829" max="2829" width="5.375" style="430" customWidth="1"/>
    <col min="2830" max="2830" width="17" style="430" bestFit="1" customWidth="1"/>
    <col min="2831" max="2831" width="16.875" style="430" customWidth="1"/>
    <col min="2832" max="2832" width="6" style="430" bestFit="1" customWidth="1"/>
    <col min="2833" max="2833" width="11.125" style="430" bestFit="1" customWidth="1"/>
    <col min="2834" max="2834" width="16.875" style="430" customWidth="1"/>
    <col min="2835" max="2835" width="6" style="430" bestFit="1" customWidth="1"/>
    <col min="2836" max="2837" width="9.375" style="430"/>
    <col min="2838" max="2839" width="13.125" style="430" bestFit="1" customWidth="1"/>
    <col min="2840" max="2840" width="9.375" style="430"/>
    <col min="2841" max="2841" width="15.875" style="430" bestFit="1" customWidth="1"/>
    <col min="2842" max="2844" width="10.875" style="430" bestFit="1" customWidth="1"/>
    <col min="2845" max="3082" width="9.375" style="430"/>
    <col min="3083" max="3083" width="1.5" style="430" customWidth="1"/>
    <col min="3084" max="3084" width="56.625" style="430" bestFit="1" customWidth="1"/>
    <col min="3085" max="3085" width="5.375" style="430" customWidth="1"/>
    <col min="3086" max="3086" width="17" style="430" bestFit="1" customWidth="1"/>
    <col min="3087" max="3087" width="16.875" style="430" customWidth="1"/>
    <col min="3088" max="3088" width="6" style="430" bestFit="1" customWidth="1"/>
    <col min="3089" max="3089" width="11.125" style="430" bestFit="1" customWidth="1"/>
    <col min="3090" max="3090" width="16.875" style="430" customWidth="1"/>
    <col min="3091" max="3091" width="6" style="430" bestFit="1" customWidth="1"/>
    <col min="3092" max="3093" width="9.375" style="430"/>
    <col min="3094" max="3095" width="13.125" style="430" bestFit="1" customWidth="1"/>
    <col min="3096" max="3096" width="9.375" style="430"/>
    <col min="3097" max="3097" width="15.875" style="430" bestFit="1" customWidth="1"/>
    <col min="3098" max="3100" width="10.875" style="430" bestFit="1" customWidth="1"/>
    <col min="3101" max="3338" width="9.375" style="430"/>
    <col min="3339" max="3339" width="1.5" style="430" customWidth="1"/>
    <col min="3340" max="3340" width="56.625" style="430" bestFit="1" customWidth="1"/>
    <col min="3341" max="3341" width="5.375" style="430" customWidth="1"/>
    <col min="3342" max="3342" width="17" style="430" bestFit="1" customWidth="1"/>
    <col min="3343" max="3343" width="16.875" style="430" customWidth="1"/>
    <col min="3344" max="3344" width="6" style="430" bestFit="1" customWidth="1"/>
    <col min="3345" max="3345" width="11.125" style="430" bestFit="1" customWidth="1"/>
    <col min="3346" max="3346" width="16.875" style="430" customWidth="1"/>
    <col min="3347" max="3347" width="6" style="430" bestFit="1" customWidth="1"/>
    <col min="3348" max="3349" width="9.375" style="430"/>
    <col min="3350" max="3351" width="13.125" style="430" bestFit="1" customWidth="1"/>
    <col min="3352" max="3352" width="9.375" style="430"/>
    <col min="3353" max="3353" width="15.875" style="430" bestFit="1" customWidth="1"/>
    <col min="3354" max="3356" width="10.875" style="430" bestFit="1" customWidth="1"/>
    <col min="3357" max="3594" width="9.375" style="430"/>
    <col min="3595" max="3595" width="1.5" style="430" customWidth="1"/>
    <col min="3596" max="3596" width="56.625" style="430" bestFit="1" customWidth="1"/>
    <col min="3597" max="3597" width="5.375" style="430" customWidth="1"/>
    <col min="3598" max="3598" width="17" style="430" bestFit="1" customWidth="1"/>
    <col min="3599" max="3599" width="16.875" style="430" customWidth="1"/>
    <col min="3600" max="3600" width="6" style="430" bestFit="1" customWidth="1"/>
    <col min="3601" max="3601" width="11.125" style="430" bestFit="1" customWidth="1"/>
    <col min="3602" max="3602" width="16.875" style="430" customWidth="1"/>
    <col min="3603" max="3603" width="6" style="430" bestFit="1" customWidth="1"/>
    <col min="3604" max="3605" width="9.375" style="430"/>
    <col min="3606" max="3607" width="13.125" style="430" bestFit="1" customWidth="1"/>
    <col min="3608" max="3608" width="9.375" style="430"/>
    <col min="3609" max="3609" width="15.875" style="430" bestFit="1" customWidth="1"/>
    <col min="3610" max="3612" width="10.875" style="430" bestFit="1" customWidth="1"/>
    <col min="3613" max="3850" width="9.375" style="430"/>
    <col min="3851" max="3851" width="1.5" style="430" customWidth="1"/>
    <col min="3852" max="3852" width="56.625" style="430" bestFit="1" customWidth="1"/>
    <col min="3853" max="3853" width="5.375" style="430" customWidth="1"/>
    <col min="3854" max="3854" width="17" style="430" bestFit="1" customWidth="1"/>
    <col min="3855" max="3855" width="16.875" style="430" customWidth="1"/>
    <col min="3856" max="3856" width="6" style="430" bestFit="1" customWidth="1"/>
    <col min="3857" max="3857" width="11.125" style="430" bestFit="1" customWidth="1"/>
    <col min="3858" max="3858" width="16.875" style="430" customWidth="1"/>
    <col min="3859" max="3859" width="6" style="430" bestFit="1" customWidth="1"/>
    <col min="3860" max="3861" width="9.375" style="430"/>
    <col min="3862" max="3863" width="13.125" style="430" bestFit="1" customWidth="1"/>
    <col min="3864" max="3864" width="9.375" style="430"/>
    <col min="3865" max="3865" width="15.875" style="430" bestFit="1" customWidth="1"/>
    <col min="3866" max="3868" width="10.875" style="430" bestFit="1" customWidth="1"/>
    <col min="3869" max="4106" width="9.375" style="430"/>
    <col min="4107" max="4107" width="1.5" style="430" customWidth="1"/>
    <col min="4108" max="4108" width="56.625" style="430" bestFit="1" customWidth="1"/>
    <col min="4109" max="4109" width="5.375" style="430" customWidth="1"/>
    <col min="4110" max="4110" width="17" style="430" bestFit="1" customWidth="1"/>
    <col min="4111" max="4111" width="16.875" style="430" customWidth="1"/>
    <col min="4112" max="4112" width="6" style="430" bestFit="1" customWidth="1"/>
    <col min="4113" max="4113" width="11.125" style="430" bestFit="1" customWidth="1"/>
    <col min="4114" max="4114" width="16.875" style="430" customWidth="1"/>
    <col min="4115" max="4115" width="6" style="430" bestFit="1" customWidth="1"/>
    <col min="4116" max="4117" width="9.375" style="430"/>
    <col min="4118" max="4119" width="13.125" style="430" bestFit="1" customWidth="1"/>
    <col min="4120" max="4120" width="9.375" style="430"/>
    <col min="4121" max="4121" width="15.875" style="430" bestFit="1" customWidth="1"/>
    <col min="4122" max="4124" width="10.875" style="430" bestFit="1" customWidth="1"/>
    <col min="4125" max="4362" width="9.375" style="430"/>
    <col min="4363" max="4363" width="1.5" style="430" customWidth="1"/>
    <col min="4364" max="4364" width="56.625" style="430" bestFit="1" customWidth="1"/>
    <col min="4365" max="4365" width="5.375" style="430" customWidth="1"/>
    <col min="4366" max="4366" width="17" style="430" bestFit="1" customWidth="1"/>
    <col min="4367" max="4367" width="16.875" style="430" customWidth="1"/>
    <col min="4368" max="4368" width="6" style="430" bestFit="1" customWidth="1"/>
    <col min="4369" max="4369" width="11.125" style="430" bestFit="1" customWidth="1"/>
    <col min="4370" max="4370" width="16.875" style="430" customWidth="1"/>
    <col min="4371" max="4371" width="6" style="430" bestFit="1" customWidth="1"/>
    <col min="4372" max="4373" width="9.375" style="430"/>
    <col min="4374" max="4375" width="13.125" style="430" bestFit="1" customWidth="1"/>
    <col min="4376" max="4376" width="9.375" style="430"/>
    <col min="4377" max="4377" width="15.875" style="430" bestFit="1" customWidth="1"/>
    <col min="4378" max="4380" width="10.875" style="430" bestFit="1" customWidth="1"/>
    <col min="4381" max="4618" width="9.375" style="430"/>
    <col min="4619" max="4619" width="1.5" style="430" customWidth="1"/>
    <col min="4620" max="4620" width="56.625" style="430" bestFit="1" customWidth="1"/>
    <col min="4621" max="4621" width="5.375" style="430" customWidth="1"/>
    <col min="4622" max="4622" width="17" style="430" bestFit="1" customWidth="1"/>
    <col min="4623" max="4623" width="16.875" style="430" customWidth="1"/>
    <col min="4624" max="4624" width="6" style="430" bestFit="1" customWidth="1"/>
    <col min="4625" max="4625" width="11.125" style="430" bestFit="1" customWidth="1"/>
    <col min="4626" max="4626" width="16.875" style="430" customWidth="1"/>
    <col min="4627" max="4627" width="6" style="430" bestFit="1" customWidth="1"/>
    <col min="4628" max="4629" width="9.375" style="430"/>
    <col min="4630" max="4631" width="13.125" style="430" bestFit="1" customWidth="1"/>
    <col min="4632" max="4632" width="9.375" style="430"/>
    <col min="4633" max="4633" width="15.875" style="430" bestFit="1" customWidth="1"/>
    <col min="4634" max="4636" width="10.875" style="430" bestFit="1" customWidth="1"/>
    <col min="4637" max="4874" width="9.375" style="430"/>
    <col min="4875" max="4875" width="1.5" style="430" customWidth="1"/>
    <col min="4876" max="4876" width="56.625" style="430" bestFit="1" customWidth="1"/>
    <col min="4877" max="4877" width="5.375" style="430" customWidth="1"/>
    <col min="4878" max="4878" width="17" style="430" bestFit="1" customWidth="1"/>
    <col min="4879" max="4879" width="16.875" style="430" customWidth="1"/>
    <col min="4880" max="4880" width="6" style="430" bestFit="1" customWidth="1"/>
    <col min="4881" max="4881" width="11.125" style="430" bestFit="1" customWidth="1"/>
    <col min="4882" max="4882" width="16.875" style="430" customWidth="1"/>
    <col min="4883" max="4883" width="6" style="430" bestFit="1" customWidth="1"/>
    <col min="4884" max="4885" width="9.375" style="430"/>
    <col min="4886" max="4887" width="13.125" style="430" bestFit="1" customWidth="1"/>
    <col min="4888" max="4888" width="9.375" style="430"/>
    <col min="4889" max="4889" width="15.875" style="430" bestFit="1" customWidth="1"/>
    <col min="4890" max="4892" width="10.875" style="430" bestFit="1" customWidth="1"/>
    <col min="4893" max="5130" width="9.375" style="430"/>
    <col min="5131" max="5131" width="1.5" style="430" customWidth="1"/>
    <col min="5132" max="5132" width="56.625" style="430" bestFit="1" customWidth="1"/>
    <col min="5133" max="5133" width="5.375" style="430" customWidth="1"/>
    <col min="5134" max="5134" width="17" style="430" bestFit="1" customWidth="1"/>
    <col min="5135" max="5135" width="16.875" style="430" customWidth="1"/>
    <col min="5136" max="5136" width="6" style="430" bestFit="1" customWidth="1"/>
    <col min="5137" max="5137" width="11.125" style="430" bestFit="1" customWidth="1"/>
    <col min="5138" max="5138" width="16.875" style="430" customWidth="1"/>
    <col min="5139" max="5139" width="6" style="430" bestFit="1" customWidth="1"/>
    <col min="5140" max="5141" width="9.375" style="430"/>
    <col min="5142" max="5143" width="13.125" style="430" bestFit="1" customWidth="1"/>
    <col min="5144" max="5144" width="9.375" style="430"/>
    <col min="5145" max="5145" width="15.875" style="430" bestFit="1" customWidth="1"/>
    <col min="5146" max="5148" width="10.875" style="430" bestFit="1" customWidth="1"/>
    <col min="5149" max="5386" width="9.375" style="430"/>
    <col min="5387" max="5387" width="1.5" style="430" customWidth="1"/>
    <col min="5388" max="5388" width="56.625" style="430" bestFit="1" customWidth="1"/>
    <col min="5389" max="5389" width="5.375" style="430" customWidth="1"/>
    <col min="5390" max="5390" width="17" style="430" bestFit="1" customWidth="1"/>
    <col min="5391" max="5391" width="16.875" style="430" customWidth="1"/>
    <col min="5392" max="5392" width="6" style="430" bestFit="1" customWidth="1"/>
    <col min="5393" max="5393" width="11.125" style="430" bestFit="1" customWidth="1"/>
    <col min="5394" max="5394" width="16.875" style="430" customWidth="1"/>
    <col min="5395" max="5395" width="6" style="430" bestFit="1" customWidth="1"/>
    <col min="5396" max="5397" width="9.375" style="430"/>
    <col min="5398" max="5399" width="13.125" style="430" bestFit="1" customWidth="1"/>
    <col min="5400" max="5400" width="9.375" style="430"/>
    <col min="5401" max="5401" width="15.875" style="430" bestFit="1" customWidth="1"/>
    <col min="5402" max="5404" width="10.875" style="430" bestFit="1" customWidth="1"/>
    <col min="5405" max="5642" width="9.375" style="430"/>
    <col min="5643" max="5643" width="1.5" style="430" customWidth="1"/>
    <col min="5644" max="5644" width="56.625" style="430" bestFit="1" customWidth="1"/>
    <col min="5645" max="5645" width="5.375" style="430" customWidth="1"/>
    <col min="5646" max="5646" width="17" style="430" bestFit="1" customWidth="1"/>
    <col min="5647" max="5647" width="16.875" style="430" customWidth="1"/>
    <col min="5648" max="5648" width="6" style="430" bestFit="1" customWidth="1"/>
    <col min="5649" max="5649" width="11.125" style="430" bestFit="1" customWidth="1"/>
    <col min="5650" max="5650" width="16.875" style="430" customWidth="1"/>
    <col min="5651" max="5651" width="6" style="430" bestFit="1" customWidth="1"/>
    <col min="5652" max="5653" width="9.375" style="430"/>
    <col min="5654" max="5655" width="13.125" style="430" bestFit="1" customWidth="1"/>
    <col min="5656" max="5656" width="9.375" style="430"/>
    <col min="5657" max="5657" width="15.875" style="430" bestFit="1" customWidth="1"/>
    <col min="5658" max="5660" width="10.875" style="430" bestFit="1" customWidth="1"/>
    <col min="5661" max="5898" width="9.375" style="430"/>
    <col min="5899" max="5899" width="1.5" style="430" customWidth="1"/>
    <col min="5900" max="5900" width="56.625" style="430" bestFit="1" customWidth="1"/>
    <col min="5901" max="5901" width="5.375" style="430" customWidth="1"/>
    <col min="5902" max="5902" width="17" style="430" bestFit="1" customWidth="1"/>
    <col min="5903" max="5903" width="16.875" style="430" customWidth="1"/>
    <col min="5904" max="5904" width="6" style="430" bestFit="1" customWidth="1"/>
    <col min="5905" max="5905" width="11.125" style="430" bestFit="1" customWidth="1"/>
    <col min="5906" max="5906" width="16.875" style="430" customWidth="1"/>
    <col min="5907" max="5907" width="6" style="430" bestFit="1" customWidth="1"/>
    <col min="5908" max="5909" width="9.375" style="430"/>
    <col min="5910" max="5911" width="13.125" style="430" bestFit="1" customWidth="1"/>
    <col min="5912" max="5912" width="9.375" style="430"/>
    <col min="5913" max="5913" width="15.875" style="430" bestFit="1" customWidth="1"/>
    <col min="5914" max="5916" width="10.875" style="430" bestFit="1" customWidth="1"/>
    <col min="5917" max="6154" width="9.375" style="430"/>
    <col min="6155" max="6155" width="1.5" style="430" customWidth="1"/>
    <col min="6156" max="6156" width="56.625" style="430" bestFit="1" customWidth="1"/>
    <col min="6157" max="6157" width="5.375" style="430" customWidth="1"/>
    <col min="6158" max="6158" width="17" style="430" bestFit="1" customWidth="1"/>
    <col min="6159" max="6159" width="16.875" style="430" customWidth="1"/>
    <col min="6160" max="6160" width="6" style="430" bestFit="1" customWidth="1"/>
    <col min="6161" max="6161" width="11.125" style="430" bestFit="1" customWidth="1"/>
    <col min="6162" max="6162" width="16.875" style="430" customWidth="1"/>
    <col min="6163" max="6163" width="6" style="430" bestFit="1" customWidth="1"/>
    <col min="6164" max="6165" width="9.375" style="430"/>
    <col min="6166" max="6167" width="13.125" style="430" bestFit="1" customWidth="1"/>
    <col min="6168" max="6168" width="9.375" style="430"/>
    <col min="6169" max="6169" width="15.875" style="430" bestFit="1" customWidth="1"/>
    <col min="6170" max="6172" width="10.875" style="430" bestFit="1" customWidth="1"/>
    <col min="6173" max="6410" width="9.375" style="430"/>
    <col min="6411" max="6411" width="1.5" style="430" customWidth="1"/>
    <col min="6412" max="6412" width="56.625" style="430" bestFit="1" customWidth="1"/>
    <col min="6413" max="6413" width="5.375" style="430" customWidth="1"/>
    <col min="6414" max="6414" width="17" style="430" bestFit="1" customWidth="1"/>
    <col min="6415" max="6415" width="16.875" style="430" customWidth="1"/>
    <col min="6416" max="6416" width="6" style="430" bestFit="1" customWidth="1"/>
    <col min="6417" max="6417" width="11.125" style="430" bestFit="1" customWidth="1"/>
    <col min="6418" max="6418" width="16.875" style="430" customWidth="1"/>
    <col min="6419" max="6419" width="6" style="430" bestFit="1" customWidth="1"/>
    <col min="6420" max="6421" width="9.375" style="430"/>
    <col min="6422" max="6423" width="13.125" style="430" bestFit="1" customWidth="1"/>
    <col min="6424" max="6424" width="9.375" style="430"/>
    <col min="6425" max="6425" width="15.875" style="430" bestFit="1" customWidth="1"/>
    <col min="6426" max="6428" width="10.875" style="430" bestFit="1" customWidth="1"/>
    <col min="6429" max="6666" width="9.375" style="430"/>
    <col min="6667" max="6667" width="1.5" style="430" customWidth="1"/>
    <col min="6668" max="6668" width="56.625" style="430" bestFit="1" customWidth="1"/>
    <col min="6669" max="6669" width="5.375" style="430" customWidth="1"/>
    <col min="6670" max="6670" width="17" style="430" bestFit="1" customWidth="1"/>
    <col min="6671" max="6671" width="16.875" style="430" customWidth="1"/>
    <col min="6672" max="6672" width="6" style="430" bestFit="1" customWidth="1"/>
    <col min="6673" max="6673" width="11.125" style="430" bestFit="1" customWidth="1"/>
    <col min="6674" max="6674" width="16.875" style="430" customWidth="1"/>
    <col min="6675" max="6675" width="6" style="430" bestFit="1" customWidth="1"/>
    <col min="6676" max="6677" width="9.375" style="430"/>
    <col min="6678" max="6679" width="13.125" style="430" bestFit="1" customWidth="1"/>
    <col min="6680" max="6680" width="9.375" style="430"/>
    <col min="6681" max="6681" width="15.875" style="430" bestFit="1" customWidth="1"/>
    <col min="6682" max="6684" width="10.875" style="430" bestFit="1" customWidth="1"/>
    <col min="6685" max="6922" width="9.375" style="430"/>
    <col min="6923" max="6923" width="1.5" style="430" customWidth="1"/>
    <col min="6924" max="6924" width="56.625" style="430" bestFit="1" customWidth="1"/>
    <col min="6925" max="6925" width="5.375" style="430" customWidth="1"/>
    <col min="6926" max="6926" width="17" style="430" bestFit="1" customWidth="1"/>
    <col min="6927" max="6927" width="16.875" style="430" customWidth="1"/>
    <col min="6928" max="6928" width="6" style="430" bestFit="1" customWidth="1"/>
    <col min="6929" max="6929" width="11.125" style="430" bestFit="1" customWidth="1"/>
    <col min="6930" max="6930" width="16.875" style="430" customWidth="1"/>
    <col min="6931" max="6931" width="6" style="430" bestFit="1" customWidth="1"/>
    <col min="6932" max="6933" width="9.375" style="430"/>
    <col min="6934" max="6935" width="13.125" style="430" bestFit="1" customWidth="1"/>
    <col min="6936" max="6936" width="9.375" style="430"/>
    <col min="6937" max="6937" width="15.875" style="430" bestFit="1" customWidth="1"/>
    <col min="6938" max="6940" width="10.875" style="430" bestFit="1" customWidth="1"/>
    <col min="6941" max="7178" width="9.375" style="430"/>
    <col min="7179" max="7179" width="1.5" style="430" customWidth="1"/>
    <col min="7180" max="7180" width="56.625" style="430" bestFit="1" customWidth="1"/>
    <col min="7181" max="7181" width="5.375" style="430" customWidth="1"/>
    <col min="7182" max="7182" width="17" style="430" bestFit="1" customWidth="1"/>
    <col min="7183" max="7183" width="16.875" style="430" customWidth="1"/>
    <col min="7184" max="7184" width="6" style="430" bestFit="1" customWidth="1"/>
    <col min="7185" max="7185" width="11.125" style="430" bestFit="1" customWidth="1"/>
    <col min="7186" max="7186" width="16.875" style="430" customWidth="1"/>
    <col min="7187" max="7187" width="6" style="430" bestFit="1" customWidth="1"/>
    <col min="7188" max="7189" width="9.375" style="430"/>
    <col min="7190" max="7191" width="13.125" style="430" bestFit="1" customWidth="1"/>
    <col min="7192" max="7192" width="9.375" style="430"/>
    <col min="7193" max="7193" width="15.875" style="430" bestFit="1" customWidth="1"/>
    <col min="7194" max="7196" width="10.875" style="430" bestFit="1" customWidth="1"/>
    <col min="7197" max="7434" width="9.375" style="430"/>
    <col min="7435" max="7435" width="1.5" style="430" customWidth="1"/>
    <col min="7436" max="7436" width="56.625" style="430" bestFit="1" customWidth="1"/>
    <col min="7437" max="7437" width="5.375" style="430" customWidth="1"/>
    <col min="7438" max="7438" width="17" style="430" bestFit="1" customWidth="1"/>
    <col min="7439" max="7439" width="16.875" style="430" customWidth="1"/>
    <col min="7440" max="7440" width="6" style="430" bestFit="1" customWidth="1"/>
    <col min="7441" max="7441" width="11.125" style="430" bestFit="1" customWidth="1"/>
    <col min="7442" max="7442" width="16.875" style="430" customWidth="1"/>
    <col min="7443" max="7443" width="6" style="430" bestFit="1" customWidth="1"/>
    <col min="7444" max="7445" width="9.375" style="430"/>
    <col min="7446" max="7447" width="13.125" style="430" bestFit="1" customWidth="1"/>
    <col min="7448" max="7448" width="9.375" style="430"/>
    <col min="7449" max="7449" width="15.875" style="430" bestFit="1" customWidth="1"/>
    <col min="7450" max="7452" width="10.875" style="430" bestFit="1" customWidth="1"/>
    <col min="7453" max="7690" width="9.375" style="430"/>
    <col min="7691" max="7691" width="1.5" style="430" customWidth="1"/>
    <col min="7692" max="7692" width="56.625" style="430" bestFit="1" customWidth="1"/>
    <col min="7693" max="7693" width="5.375" style="430" customWidth="1"/>
    <col min="7694" max="7694" width="17" style="430" bestFit="1" customWidth="1"/>
    <col min="7695" max="7695" width="16.875" style="430" customWidth="1"/>
    <col min="7696" max="7696" width="6" style="430" bestFit="1" customWidth="1"/>
    <col min="7697" max="7697" width="11.125" style="430" bestFit="1" customWidth="1"/>
    <col min="7698" max="7698" width="16.875" style="430" customWidth="1"/>
    <col min="7699" max="7699" width="6" style="430" bestFit="1" customWidth="1"/>
    <col min="7700" max="7701" width="9.375" style="430"/>
    <col min="7702" max="7703" width="13.125" style="430" bestFit="1" customWidth="1"/>
    <col min="7704" max="7704" width="9.375" style="430"/>
    <col min="7705" max="7705" width="15.875" style="430" bestFit="1" customWidth="1"/>
    <col min="7706" max="7708" width="10.875" style="430" bestFit="1" customWidth="1"/>
    <col min="7709" max="7946" width="9.375" style="430"/>
    <col min="7947" max="7947" width="1.5" style="430" customWidth="1"/>
    <col min="7948" max="7948" width="56.625" style="430" bestFit="1" customWidth="1"/>
    <col min="7949" max="7949" width="5.375" style="430" customWidth="1"/>
    <col min="7950" max="7950" width="17" style="430" bestFit="1" customWidth="1"/>
    <col min="7951" max="7951" width="16.875" style="430" customWidth="1"/>
    <col min="7952" max="7952" width="6" style="430" bestFit="1" customWidth="1"/>
    <col min="7953" max="7953" width="11.125" style="430" bestFit="1" customWidth="1"/>
    <col min="7954" max="7954" width="16.875" style="430" customWidth="1"/>
    <col min="7955" max="7955" width="6" style="430" bestFit="1" customWidth="1"/>
    <col min="7956" max="7957" width="9.375" style="430"/>
    <col min="7958" max="7959" width="13.125" style="430" bestFit="1" customWidth="1"/>
    <col min="7960" max="7960" width="9.375" style="430"/>
    <col min="7961" max="7961" width="15.875" style="430" bestFit="1" customWidth="1"/>
    <col min="7962" max="7964" width="10.875" style="430" bestFit="1" customWidth="1"/>
    <col min="7965" max="8202" width="9.375" style="430"/>
    <col min="8203" max="8203" width="1.5" style="430" customWidth="1"/>
    <col min="8204" max="8204" width="56.625" style="430" bestFit="1" customWidth="1"/>
    <col min="8205" max="8205" width="5.375" style="430" customWidth="1"/>
    <col min="8206" max="8206" width="17" style="430" bestFit="1" customWidth="1"/>
    <col min="8207" max="8207" width="16.875" style="430" customWidth="1"/>
    <col min="8208" max="8208" width="6" style="430" bestFit="1" customWidth="1"/>
    <col min="8209" max="8209" width="11.125" style="430" bestFit="1" customWidth="1"/>
    <col min="8210" max="8210" width="16.875" style="430" customWidth="1"/>
    <col min="8211" max="8211" width="6" style="430" bestFit="1" customWidth="1"/>
    <col min="8212" max="8213" width="9.375" style="430"/>
    <col min="8214" max="8215" width="13.125" style="430" bestFit="1" customWidth="1"/>
    <col min="8216" max="8216" width="9.375" style="430"/>
    <col min="8217" max="8217" width="15.875" style="430" bestFit="1" customWidth="1"/>
    <col min="8218" max="8220" width="10.875" style="430" bestFit="1" customWidth="1"/>
    <col min="8221" max="8458" width="9.375" style="430"/>
    <col min="8459" max="8459" width="1.5" style="430" customWidth="1"/>
    <col min="8460" max="8460" width="56.625" style="430" bestFit="1" customWidth="1"/>
    <col min="8461" max="8461" width="5.375" style="430" customWidth="1"/>
    <col min="8462" max="8462" width="17" style="430" bestFit="1" customWidth="1"/>
    <col min="8463" max="8463" width="16.875" style="430" customWidth="1"/>
    <col min="8464" max="8464" width="6" style="430" bestFit="1" customWidth="1"/>
    <col min="8465" max="8465" width="11.125" style="430" bestFit="1" customWidth="1"/>
    <col min="8466" max="8466" width="16.875" style="430" customWidth="1"/>
    <col min="8467" max="8467" width="6" style="430" bestFit="1" customWidth="1"/>
    <col min="8468" max="8469" width="9.375" style="430"/>
    <col min="8470" max="8471" width="13.125" style="430" bestFit="1" customWidth="1"/>
    <col min="8472" max="8472" width="9.375" style="430"/>
    <col min="8473" max="8473" width="15.875" style="430" bestFit="1" customWidth="1"/>
    <col min="8474" max="8476" width="10.875" style="430" bestFit="1" customWidth="1"/>
    <col min="8477" max="8714" width="9.375" style="430"/>
    <col min="8715" max="8715" width="1.5" style="430" customWidth="1"/>
    <col min="8716" max="8716" width="56.625" style="430" bestFit="1" customWidth="1"/>
    <col min="8717" max="8717" width="5.375" style="430" customWidth="1"/>
    <col min="8718" max="8718" width="17" style="430" bestFit="1" customWidth="1"/>
    <col min="8719" max="8719" width="16.875" style="430" customWidth="1"/>
    <col min="8720" max="8720" width="6" style="430" bestFit="1" customWidth="1"/>
    <col min="8721" max="8721" width="11.125" style="430" bestFit="1" customWidth="1"/>
    <col min="8722" max="8722" width="16.875" style="430" customWidth="1"/>
    <col min="8723" max="8723" width="6" style="430" bestFit="1" customWidth="1"/>
    <col min="8724" max="8725" width="9.375" style="430"/>
    <col min="8726" max="8727" width="13.125" style="430" bestFit="1" customWidth="1"/>
    <col min="8728" max="8728" width="9.375" style="430"/>
    <col min="8729" max="8729" width="15.875" style="430" bestFit="1" customWidth="1"/>
    <col min="8730" max="8732" width="10.875" style="430" bestFit="1" customWidth="1"/>
    <col min="8733" max="8970" width="9.375" style="430"/>
    <col min="8971" max="8971" width="1.5" style="430" customWidth="1"/>
    <col min="8972" max="8972" width="56.625" style="430" bestFit="1" customWidth="1"/>
    <col min="8973" max="8973" width="5.375" style="430" customWidth="1"/>
    <col min="8974" max="8974" width="17" style="430" bestFit="1" customWidth="1"/>
    <col min="8975" max="8975" width="16.875" style="430" customWidth="1"/>
    <col min="8976" max="8976" width="6" style="430" bestFit="1" customWidth="1"/>
    <col min="8977" max="8977" width="11.125" style="430" bestFit="1" customWidth="1"/>
    <col min="8978" max="8978" width="16.875" style="430" customWidth="1"/>
    <col min="8979" max="8979" width="6" style="430" bestFit="1" customWidth="1"/>
    <col min="8980" max="8981" width="9.375" style="430"/>
    <col min="8982" max="8983" width="13.125" style="430" bestFit="1" customWidth="1"/>
    <col min="8984" max="8984" width="9.375" style="430"/>
    <col min="8985" max="8985" width="15.875" style="430" bestFit="1" customWidth="1"/>
    <col min="8986" max="8988" width="10.875" style="430" bestFit="1" customWidth="1"/>
    <col min="8989" max="9226" width="9.375" style="430"/>
    <col min="9227" max="9227" width="1.5" style="430" customWidth="1"/>
    <col min="9228" max="9228" width="56.625" style="430" bestFit="1" customWidth="1"/>
    <col min="9229" max="9229" width="5.375" style="430" customWidth="1"/>
    <col min="9230" max="9230" width="17" style="430" bestFit="1" customWidth="1"/>
    <col min="9231" max="9231" width="16.875" style="430" customWidth="1"/>
    <col min="9232" max="9232" width="6" style="430" bestFit="1" customWidth="1"/>
    <col min="9233" max="9233" width="11.125" style="430" bestFit="1" customWidth="1"/>
    <col min="9234" max="9234" width="16.875" style="430" customWidth="1"/>
    <col min="9235" max="9235" width="6" style="430" bestFit="1" customWidth="1"/>
    <col min="9236" max="9237" width="9.375" style="430"/>
    <col min="9238" max="9239" width="13.125" style="430" bestFit="1" customWidth="1"/>
    <col min="9240" max="9240" width="9.375" style="430"/>
    <col min="9241" max="9241" width="15.875" style="430" bestFit="1" customWidth="1"/>
    <col min="9242" max="9244" width="10.875" style="430" bestFit="1" customWidth="1"/>
    <col min="9245" max="9482" width="9.375" style="430"/>
    <col min="9483" max="9483" width="1.5" style="430" customWidth="1"/>
    <col min="9484" max="9484" width="56.625" style="430" bestFit="1" customWidth="1"/>
    <col min="9485" max="9485" width="5.375" style="430" customWidth="1"/>
    <col min="9486" max="9486" width="17" style="430" bestFit="1" customWidth="1"/>
    <col min="9487" max="9487" width="16.875" style="430" customWidth="1"/>
    <col min="9488" max="9488" width="6" style="430" bestFit="1" customWidth="1"/>
    <col min="9489" max="9489" width="11.125" style="430" bestFit="1" customWidth="1"/>
    <col min="9490" max="9490" width="16.875" style="430" customWidth="1"/>
    <col min="9491" max="9491" width="6" style="430" bestFit="1" customWidth="1"/>
    <col min="9492" max="9493" width="9.375" style="430"/>
    <col min="9494" max="9495" width="13.125" style="430" bestFit="1" customWidth="1"/>
    <col min="9496" max="9496" width="9.375" style="430"/>
    <col min="9497" max="9497" width="15.875" style="430" bestFit="1" customWidth="1"/>
    <col min="9498" max="9500" width="10.875" style="430" bestFit="1" customWidth="1"/>
    <col min="9501" max="9738" width="9.375" style="430"/>
    <col min="9739" max="9739" width="1.5" style="430" customWidth="1"/>
    <col min="9740" max="9740" width="56.625" style="430" bestFit="1" customWidth="1"/>
    <col min="9741" max="9741" width="5.375" style="430" customWidth="1"/>
    <col min="9742" max="9742" width="17" style="430" bestFit="1" customWidth="1"/>
    <col min="9743" max="9743" width="16.875" style="430" customWidth="1"/>
    <col min="9744" max="9744" width="6" style="430" bestFit="1" customWidth="1"/>
    <col min="9745" max="9745" width="11.125" style="430" bestFit="1" customWidth="1"/>
    <col min="9746" max="9746" width="16.875" style="430" customWidth="1"/>
    <col min="9747" max="9747" width="6" style="430" bestFit="1" customWidth="1"/>
    <col min="9748" max="9749" width="9.375" style="430"/>
    <col min="9750" max="9751" width="13.125" style="430" bestFit="1" customWidth="1"/>
    <col min="9752" max="9752" width="9.375" style="430"/>
    <col min="9753" max="9753" width="15.875" style="430" bestFit="1" customWidth="1"/>
    <col min="9754" max="9756" width="10.875" style="430" bestFit="1" customWidth="1"/>
    <col min="9757" max="9994" width="9.375" style="430"/>
    <col min="9995" max="9995" width="1.5" style="430" customWidth="1"/>
    <col min="9996" max="9996" width="56.625" style="430" bestFit="1" customWidth="1"/>
    <col min="9997" max="9997" width="5.375" style="430" customWidth="1"/>
    <col min="9998" max="9998" width="17" style="430" bestFit="1" customWidth="1"/>
    <col min="9999" max="9999" width="16.875" style="430" customWidth="1"/>
    <col min="10000" max="10000" width="6" style="430" bestFit="1" customWidth="1"/>
    <col min="10001" max="10001" width="11.125" style="430" bestFit="1" customWidth="1"/>
    <col min="10002" max="10002" width="16.875" style="430" customWidth="1"/>
    <col min="10003" max="10003" width="6" style="430" bestFit="1" customWidth="1"/>
    <col min="10004" max="10005" width="9.375" style="430"/>
    <col min="10006" max="10007" width="13.125" style="430" bestFit="1" customWidth="1"/>
    <col min="10008" max="10008" width="9.375" style="430"/>
    <col min="10009" max="10009" width="15.875" style="430" bestFit="1" customWidth="1"/>
    <col min="10010" max="10012" width="10.875" style="430" bestFit="1" customWidth="1"/>
    <col min="10013" max="10250" width="9.375" style="430"/>
    <col min="10251" max="10251" width="1.5" style="430" customWidth="1"/>
    <col min="10252" max="10252" width="56.625" style="430" bestFit="1" customWidth="1"/>
    <col min="10253" max="10253" width="5.375" style="430" customWidth="1"/>
    <col min="10254" max="10254" width="17" style="430" bestFit="1" customWidth="1"/>
    <col min="10255" max="10255" width="16.875" style="430" customWidth="1"/>
    <col min="10256" max="10256" width="6" style="430" bestFit="1" customWidth="1"/>
    <col min="10257" max="10257" width="11.125" style="430" bestFit="1" customWidth="1"/>
    <col min="10258" max="10258" width="16.875" style="430" customWidth="1"/>
    <col min="10259" max="10259" width="6" style="430" bestFit="1" customWidth="1"/>
    <col min="10260" max="10261" width="9.375" style="430"/>
    <col min="10262" max="10263" width="13.125" style="430" bestFit="1" customWidth="1"/>
    <col min="10264" max="10264" width="9.375" style="430"/>
    <col min="10265" max="10265" width="15.875" style="430" bestFit="1" customWidth="1"/>
    <col min="10266" max="10268" width="10.875" style="430" bestFit="1" customWidth="1"/>
    <col min="10269" max="10506" width="9.375" style="430"/>
    <col min="10507" max="10507" width="1.5" style="430" customWidth="1"/>
    <col min="10508" max="10508" width="56.625" style="430" bestFit="1" customWidth="1"/>
    <col min="10509" max="10509" width="5.375" style="430" customWidth="1"/>
    <col min="10510" max="10510" width="17" style="430" bestFit="1" customWidth="1"/>
    <col min="10511" max="10511" width="16.875" style="430" customWidth="1"/>
    <col min="10512" max="10512" width="6" style="430" bestFit="1" customWidth="1"/>
    <col min="10513" max="10513" width="11.125" style="430" bestFit="1" customWidth="1"/>
    <col min="10514" max="10514" width="16.875" style="430" customWidth="1"/>
    <col min="10515" max="10515" width="6" style="430" bestFit="1" customWidth="1"/>
    <col min="10516" max="10517" width="9.375" style="430"/>
    <col min="10518" max="10519" width="13.125" style="430" bestFit="1" customWidth="1"/>
    <col min="10520" max="10520" width="9.375" style="430"/>
    <col min="10521" max="10521" width="15.875" style="430" bestFit="1" customWidth="1"/>
    <col min="10522" max="10524" width="10.875" style="430" bestFit="1" customWidth="1"/>
    <col min="10525" max="10762" width="9.375" style="430"/>
    <col min="10763" max="10763" width="1.5" style="430" customWidth="1"/>
    <col min="10764" max="10764" width="56.625" style="430" bestFit="1" customWidth="1"/>
    <col min="10765" max="10765" width="5.375" style="430" customWidth="1"/>
    <col min="10766" max="10766" width="17" style="430" bestFit="1" customWidth="1"/>
    <col min="10767" max="10767" width="16.875" style="430" customWidth="1"/>
    <col min="10768" max="10768" width="6" style="430" bestFit="1" customWidth="1"/>
    <col min="10769" max="10769" width="11.125" style="430" bestFit="1" customWidth="1"/>
    <col min="10770" max="10770" width="16.875" style="430" customWidth="1"/>
    <col min="10771" max="10771" width="6" style="430" bestFit="1" customWidth="1"/>
    <col min="10772" max="10773" width="9.375" style="430"/>
    <col min="10774" max="10775" width="13.125" style="430" bestFit="1" customWidth="1"/>
    <col min="10776" max="10776" width="9.375" style="430"/>
    <col min="10777" max="10777" width="15.875" style="430" bestFit="1" customWidth="1"/>
    <col min="10778" max="10780" width="10.875" style="430" bestFit="1" customWidth="1"/>
    <col min="10781" max="11018" width="9.375" style="430"/>
    <col min="11019" max="11019" width="1.5" style="430" customWidth="1"/>
    <col min="11020" max="11020" width="56.625" style="430" bestFit="1" customWidth="1"/>
    <col min="11021" max="11021" width="5.375" style="430" customWidth="1"/>
    <col min="11022" max="11022" width="17" style="430" bestFit="1" customWidth="1"/>
    <col min="11023" max="11023" width="16.875" style="430" customWidth="1"/>
    <col min="11024" max="11024" width="6" style="430" bestFit="1" customWidth="1"/>
    <col min="11025" max="11025" width="11.125" style="430" bestFit="1" customWidth="1"/>
    <col min="11026" max="11026" width="16.875" style="430" customWidth="1"/>
    <col min="11027" max="11027" width="6" style="430" bestFit="1" customWidth="1"/>
    <col min="11028" max="11029" width="9.375" style="430"/>
    <col min="11030" max="11031" width="13.125" style="430" bestFit="1" customWidth="1"/>
    <col min="11032" max="11032" width="9.375" style="430"/>
    <col min="11033" max="11033" width="15.875" style="430" bestFit="1" customWidth="1"/>
    <col min="11034" max="11036" width="10.875" style="430" bestFit="1" customWidth="1"/>
    <col min="11037" max="11274" width="9.375" style="430"/>
    <col min="11275" max="11275" width="1.5" style="430" customWidth="1"/>
    <col min="11276" max="11276" width="56.625" style="430" bestFit="1" customWidth="1"/>
    <col min="11277" max="11277" width="5.375" style="430" customWidth="1"/>
    <col min="11278" max="11278" width="17" style="430" bestFit="1" customWidth="1"/>
    <col min="11279" max="11279" width="16.875" style="430" customWidth="1"/>
    <col min="11280" max="11280" width="6" style="430" bestFit="1" customWidth="1"/>
    <col min="11281" max="11281" width="11.125" style="430" bestFit="1" customWidth="1"/>
    <col min="11282" max="11282" width="16.875" style="430" customWidth="1"/>
    <col min="11283" max="11283" width="6" style="430" bestFit="1" customWidth="1"/>
    <col min="11284" max="11285" width="9.375" style="430"/>
    <col min="11286" max="11287" width="13.125" style="430" bestFit="1" customWidth="1"/>
    <col min="11288" max="11288" width="9.375" style="430"/>
    <col min="11289" max="11289" width="15.875" style="430" bestFit="1" customWidth="1"/>
    <col min="11290" max="11292" width="10.875" style="430" bestFit="1" customWidth="1"/>
    <col min="11293" max="11530" width="9.375" style="430"/>
    <col min="11531" max="11531" width="1.5" style="430" customWidth="1"/>
    <col min="11532" max="11532" width="56.625" style="430" bestFit="1" customWidth="1"/>
    <col min="11533" max="11533" width="5.375" style="430" customWidth="1"/>
    <col min="11534" max="11534" width="17" style="430" bestFit="1" customWidth="1"/>
    <col min="11535" max="11535" width="16.875" style="430" customWidth="1"/>
    <col min="11536" max="11536" width="6" style="430" bestFit="1" customWidth="1"/>
    <col min="11537" max="11537" width="11.125" style="430" bestFit="1" customWidth="1"/>
    <col min="11538" max="11538" width="16.875" style="430" customWidth="1"/>
    <col min="11539" max="11539" width="6" style="430" bestFit="1" customWidth="1"/>
    <col min="11540" max="11541" width="9.375" style="430"/>
    <col min="11542" max="11543" width="13.125" style="430" bestFit="1" customWidth="1"/>
    <col min="11544" max="11544" width="9.375" style="430"/>
    <col min="11545" max="11545" width="15.875" style="430" bestFit="1" customWidth="1"/>
    <col min="11546" max="11548" width="10.875" style="430" bestFit="1" customWidth="1"/>
    <col min="11549" max="11786" width="9.375" style="430"/>
    <col min="11787" max="11787" width="1.5" style="430" customWidth="1"/>
    <col min="11788" max="11788" width="56.625" style="430" bestFit="1" customWidth="1"/>
    <col min="11789" max="11789" width="5.375" style="430" customWidth="1"/>
    <col min="11790" max="11790" width="17" style="430" bestFit="1" customWidth="1"/>
    <col min="11791" max="11791" width="16.875" style="430" customWidth="1"/>
    <col min="11792" max="11792" width="6" style="430" bestFit="1" customWidth="1"/>
    <col min="11793" max="11793" width="11.125" style="430" bestFit="1" customWidth="1"/>
    <col min="11794" max="11794" width="16.875" style="430" customWidth="1"/>
    <col min="11795" max="11795" width="6" style="430" bestFit="1" customWidth="1"/>
    <col min="11796" max="11797" width="9.375" style="430"/>
    <col min="11798" max="11799" width="13.125" style="430" bestFit="1" customWidth="1"/>
    <col min="11800" max="11800" width="9.375" style="430"/>
    <col min="11801" max="11801" width="15.875" style="430" bestFit="1" customWidth="1"/>
    <col min="11802" max="11804" width="10.875" style="430" bestFit="1" customWidth="1"/>
    <col min="11805" max="12042" width="9.375" style="430"/>
    <col min="12043" max="12043" width="1.5" style="430" customWidth="1"/>
    <col min="12044" max="12044" width="56.625" style="430" bestFit="1" customWidth="1"/>
    <col min="12045" max="12045" width="5.375" style="430" customWidth="1"/>
    <col min="12046" max="12046" width="17" style="430" bestFit="1" customWidth="1"/>
    <col min="12047" max="12047" width="16.875" style="430" customWidth="1"/>
    <col min="12048" max="12048" width="6" style="430" bestFit="1" customWidth="1"/>
    <col min="12049" max="12049" width="11.125" style="430" bestFit="1" customWidth="1"/>
    <col min="12050" max="12050" width="16.875" style="430" customWidth="1"/>
    <col min="12051" max="12051" width="6" style="430" bestFit="1" customWidth="1"/>
    <col min="12052" max="12053" width="9.375" style="430"/>
    <col min="12054" max="12055" width="13.125" style="430" bestFit="1" customWidth="1"/>
    <col min="12056" max="12056" width="9.375" style="430"/>
    <col min="12057" max="12057" width="15.875" style="430" bestFit="1" customWidth="1"/>
    <col min="12058" max="12060" width="10.875" style="430" bestFit="1" customWidth="1"/>
    <col min="12061" max="12298" width="9.375" style="430"/>
    <col min="12299" max="12299" width="1.5" style="430" customWidth="1"/>
    <col min="12300" max="12300" width="56.625" style="430" bestFit="1" customWidth="1"/>
    <col min="12301" max="12301" width="5.375" style="430" customWidth="1"/>
    <col min="12302" max="12302" width="17" style="430" bestFit="1" customWidth="1"/>
    <col min="12303" max="12303" width="16.875" style="430" customWidth="1"/>
    <col min="12304" max="12304" width="6" style="430" bestFit="1" customWidth="1"/>
    <col min="12305" max="12305" width="11.125" style="430" bestFit="1" customWidth="1"/>
    <col min="12306" max="12306" width="16.875" style="430" customWidth="1"/>
    <col min="12307" max="12307" width="6" style="430" bestFit="1" customWidth="1"/>
    <col min="12308" max="12309" width="9.375" style="430"/>
    <col min="12310" max="12311" width="13.125" style="430" bestFit="1" customWidth="1"/>
    <col min="12312" max="12312" width="9.375" style="430"/>
    <col min="12313" max="12313" width="15.875" style="430" bestFit="1" customWidth="1"/>
    <col min="12314" max="12316" width="10.875" style="430" bestFit="1" customWidth="1"/>
    <col min="12317" max="12554" width="9.375" style="430"/>
    <col min="12555" max="12555" width="1.5" style="430" customWidth="1"/>
    <col min="12556" max="12556" width="56.625" style="430" bestFit="1" customWidth="1"/>
    <col min="12557" max="12557" width="5.375" style="430" customWidth="1"/>
    <col min="12558" max="12558" width="17" style="430" bestFit="1" customWidth="1"/>
    <col min="12559" max="12559" width="16.875" style="430" customWidth="1"/>
    <col min="12560" max="12560" width="6" style="430" bestFit="1" customWidth="1"/>
    <col min="12561" max="12561" width="11.125" style="430" bestFit="1" customWidth="1"/>
    <col min="12562" max="12562" width="16.875" style="430" customWidth="1"/>
    <col min="12563" max="12563" width="6" style="430" bestFit="1" customWidth="1"/>
    <col min="12564" max="12565" width="9.375" style="430"/>
    <col min="12566" max="12567" width="13.125" style="430" bestFit="1" customWidth="1"/>
    <col min="12568" max="12568" width="9.375" style="430"/>
    <col min="12569" max="12569" width="15.875" style="430" bestFit="1" customWidth="1"/>
    <col min="12570" max="12572" width="10.875" style="430" bestFit="1" customWidth="1"/>
    <col min="12573" max="12810" width="9.375" style="430"/>
    <col min="12811" max="12811" width="1.5" style="430" customWidth="1"/>
    <col min="12812" max="12812" width="56.625" style="430" bestFit="1" customWidth="1"/>
    <col min="12813" max="12813" width="5.375" style="430" customWidth="1"/>
    <col min="12814" max="12814" width="17" style="430" bestFit="1" customWidth="1"/>
    <col min="12815" max="12815" width="16.875" style="430" customWidth="1"/>
    <col min="12816" max="12816" width="6" style="430" bestFit="1" customWidth="1"/>
    <col min="12817" max="12817" width="11.125" style="430" bestFit="1" customWidth="1"/>
    <col min="12818" max="12818" width="16.875" style="430" customWidth="1"/>
    <col min="12819" max="12819" width="6" style="430" bestFit="1" customWidth="1"/>
    <col min="12820" max="12821" width="9.375" style="430"/>
    <col min="12822" max="12823" width="13.125" style="430" bestFit="1" customWidth="1"/>
    <col min="12824" max="12824" width="9.375" style="430"/>
    <col min="12825" max="12825" width="15.875" style="430" bestFit="1" customWidth="1"/>
    <col min="12826" max="12828" width="10.875" style="430" bestFit="1" customWidth="1"/>
    <col min="12829" max="13066" width="9.375" style="430"/>
    <col min="13067" max="13067" width="1.5" style="430" customWidth="1"/>
    <col min="13068" max="13068" width="56.625" style="430" bestFit="1" customWidth="1"/>
    <col min="13069" max="13069" width="5.375" style="430" customWidth="1"/>
    <col min="13070" max="13070" width="17" style="430" bestFit="1" customWidth="1"/>
    <col min="13071" max="13071" width="16.875" style="430" customWidth="1"/>
    <col min="13072" max="13072" width="6" style="430" bestFit="1" customWidth="1"/>
    <col min="13073" max="13073" width="11.125" style="430" bestFit="1" customWidth="1"/>
    <col min="13074" max="13074" width="16.875" style="430" customWidth="1"/>
    <col min="13075" max="13075" width="6" style="430" bestFit="1" customWidth="1"/>
    <col min="13076" max="13077" width="9.375" style="430"/>
    <col min="13078" max="13079" width="13.125" style="430" bestFit="1" customWidth="1"/>
    <col min="13080" max="13080" width="9.375" style="430"/>
    <col min="13081" max="13081" width="15.875" style="430" bestFit="1" customWidth="1"/>
    <col min="13082" max="13084" width="10.875" style="430" bestFit="1" customWidth="1"/>
    <col min="13085" max="13322" width="9.375" style="430"/>
    <col min="13323" max="13323" width="1.5" style="430" customWidth="1"/>
    <col min="13324" max="13324" width="56.625" style="430" bestFit="1" customWidth="1"/>
    <col min="13325" max="13325" width="5.375" style="430" customWidth="1"/>
    <col min="13326" max="13326" width="17" style="430" bestFit="1" customWidth="1"/>
    <col min="13327" max="13327" width="16.875" style="430" customWidth="1"/>
    <col min="13328" max="13328" width="6" style="430" bestFit="1" customWidth="1"/>
    <col min="13329" max="13329" width="11.125" style="430" bestFit="1" customWidth="1"/>
    <col min="13330" max="13330" width="16.875" style="430" customWidth="1"/>
    <col min="13331" max="13331" width="6" style="430" bestFit="1" customWidth="1"/>
    <col min="13332" max="13333" width="9.375" style="430"/>
    <col min="13334" max="13335" width="13.125" style="430" bestFit="1" customWidth="1"/>
    <col min="13336" max="13336" width="9.375" style="430"/>
    <col min="13337" max="13337" width="15.875" style="430" bestFit="1" customWidth="1"/>
    <col min="13338" max="13340" width="10.875" style="430" bestFit="1" customWidth="1"/>
    <col min="13341" max="13578" width="9.375" style="430"/>
    <col min="13579" max="13579" width="1.5" style="430" customWidth="1"/>
    <col min="13580" max="13580" width="56.625" style="430" bestFit="1" customWidth="1"/>
    <col min="13581" max="13581" width="5.375" style="430" customWidth="1"/>
    <col min="13582" max="13582" width="17" style="430" bestFit="1" customWidth="1"/>
    <col min="13583" max="13583" width="16.875" style="430" customWidth="1"/>
    <col min="13584" max="13584" width="6" style="430" bestFit="1" customWidth="1"/>
    <col min="13585" max="13585" width="11.125" style="430" bestFit="1" customWidth="1"/>
    <col min="13586" max="13586" width="16.875" style="430" customWidth="1"/>
    <col min="13587" max="13587" width="6" style="430" bestFit="1" customWidth="1"/>
    <col min="13588" max="13589" width="9.375" style="430"/>
    <col min="13590" max="13591" width="13.125" style="430" bestFit="1" customWidth="1"/>
    <col min="13592" max="13592" width="9.375" style="430"/>
    <col min="13593" max="13593" width="15.875" style="430" bestFit="1" customWidth="1"/>
    <col min="13594" max="13596" width="10.875" style="430" bestFit="1" customWidth="1"/>
    <col min="13597" max="13834" width="9.375" style="430"/>
    <col min="13835" max="13835" width="1.5" style="430" customWidth="1"/>
    <col min="13836" max="13836" width="56.625" style="430" bestFit="1" customWidth="1"/>
    <col min="13837" max="13837" width="5.375" style="430" customWidth="1"/>
    <col min="13838" max="13838" width="17" style="430" bestFit="1" customWidth="1"/>
    <col min="13839" max="13839" width="16.875" style="430" customWidth="1"/>
    <col min="13840" max="13840" width="6" style="430" bestFit="1" customWidth="1"/>
    <col min="13841" max="13841" width="11.125" style="430" bestFit="1" customWidth="1"/>
    <col min="13842" max="13842" width="16.875" style="430" customWidth="1"/>
    <col min="13843" max="13843" width="6" style="430" bestFit="1" customWidth="1"/>
    <col min="13844" max="13845" width="9.375" style="430"/>
    <col min="13846" max="13847" width="13.125" style="430" bestFit="1" customWidth="1"/>
    <col min="13848" max="13848" width="9.375" style="430"/>
    <col min="13849" max="13849" width="15.875" style="430" bestFit="1" customWidth="1"/>
    <col min="13850" max="13852" width="10.875" style="430" bestFit="1" customWidth="1"/>
    <col min="13853" max="14090" width="9.375" style="430"/>
    <col min="14091" max="14091" width="1.5" style="430" customWidth="1"/>
    <col min="14092" max="14092" width="56.625" style="430" bestFit="1" customWidth="1"/>
    <col min="14093" max="14093" width="5.375" style="430" customWidth="1"/>
    <col min="14094" max="14094" width="17" style="430" bestFit="1" customWidth="1"/>
    <col min="14095" max="14095" width="16.875" style="430" customWidth="1"/>
    <col min="14096" max="14096" width="6" style="430" bestFit="1" customWidth="1"/>
    <col min="14097" max="14097" width="11.125" style="430" bestFit="1" customWidth="1"/>
    <col min="14098" max="14098" width="16.875" style="430" customWidth="1"/>
    <col min="14099" max="14099" width="6" style="430" bestFit="1" customWidth="1"/>
    <col min="14100" max="14101" width="9.375" style="430"/>
    <col min="14102" max="14103" width="13.125" style="430" bestFit="1" customWidth="1"/>
    <col min="14104" max="14104" width="9.375" style="430"/>
    <col min="14105" max="14105" width="15.875" style="430" bestFit="1" customWidth="1"/>
    <col min="14106" max="14108" width="10.875" style="430" bestFit="1" customWidth="1"/>
    <col min="14109" max="14346" width="9.375" style="430"/>
    <col min="14347" max="14347" width="1.5" style="430" customWidth="1"/>
    <col min="14348" max="14348" width="56.625" style="430" bestFit="1" customWidth="1"/>
    <col min="14349" max="14349" width="5.375" style="430" customWidth="1"/>
    <col min="14350" max="14350" width="17" style="430" bestFit="1" customWidth="1"/>
    <col min="14351" max="14351" width="16.875" style="430" customWidth="1"/>
    <col min="14352" max="14352" width="6" style="430" bestFit="1" customWidth="1"/>
    <col min="14353" max="14353" width="11.125" style="430" bestFit="1" customWidth="1"/>
    <col min="14354" max="14354" width="16.875" style="430" customWidth="1"/>
    <col min="14355" max="14355" width="6" style="430" bestFit="1" customWidth="1"/>
    <col min="14356" max="14357" width="9.375" style="430"/>
    <col min="14358" max="14359" width="13.125" style="430" bestFit="1" customWidth="1"/>
    <col min="14360" max="14360" width="9.375" style="430"/>
    <col min="14361" max="14361" width="15.875" style="430" bestFit="1" customWidth="1"/>
    <col min="14362" max="14364" width="10.875" style="430" bestFit="1" customWidth="1"/>
    <col min="14365" max="14602" width="9.375" style="430"/>
    <col min="14603" max="14603" width="1.5" style="430" customWidth="1"/>
    <col min="14604" max="14604" width="56.625" style="430" bestFit="1" customWidth="1"/>
    <col min="14605" max="14605" width="5.375" style="430" customWidth="1"/>
    <col min="14606" max="14606" width="17" style="430" bestFit="1" customWidth="1"/>
    <col min="14607" max="14607" width="16.875" style="430" customWidth="1"/>
    <col min="14608" max="14608" width="6" style="430" bestFit="1" customWidth="1"/>
    <col min="14609" max="14609" width="11.125" style="430" bestFit="1" customWidth="1"/>
    <col min="14610" max="14610" width="16.875" style="430" customWidth="1"/>
    <col min="14611" max="14611" width="6" style="430" bestFit="1" customWidth="1"/>
    <col min="14612" max="14613" width="9.375" style="430"/>
    <col min="14614" max="14615" width="13.125" style="430" bestFit="1" customWidth="1"/>
    <col min="14616" max="14616" width="9.375" style="430"/>
    <col min="14617" max="14617" width="15.875" style="430" bestFit="1" customWidth="1"/>
    <col min="14618" max="14620" width="10.875" style="430" bestFit="1" customWidth="1"/>
    <col min="14621" max="14858" width="9.375" style="430"/>
    <col min="14859" max="14859" width="1.5" style="430" customWidth="1"/>
    <col min="14860" max="14860" width="56.625" style="430" bestFit="1" customWidth="1"/>
    <col min="14861" max="14861" width="5.375" style="430" customWidth="1"/>
    <col min="14862" max="14862" width="17" style="430" bestFit="1" customWidth="1"/>
    <col min="14863" max="14863" width="16.875" style="430" customWidth="1"/>
    <col min="14864" max="14864" width="6" style="430" bestFit="1" customWidth="1"/>
    <col min="14865" max="14865" width="11.125" style="430" bestFit="1" customWidth="1"/>
    <col min="14866" max="14866" width="16.875" style="430" customWidth="1"/>
    <col min="14867" max="14867" width="6" style="430" bestFit="1" customWidth="1"/>
    <col min="14868" max="14869" width="9.375" style="430"/>
    <col min="14870" max="14871" width="13.125" style="430" bestFit="1" customWidth="1"/>
    <col min="14872" max="14872" width="9.375" style="430"/>
    <col min="14873" max="14873" width="15.875" style="430" bestFit="1" customWidth="1"/>
    <col min="14874" max="14876" width="10.875" style="430" bestFit="1" customWidth="1"/>
    <col min="14877" max="15114" width="9.375" style="430"/>
    <col min="15115" max="15115" width="1.5" style="430" customWidth="1"/>
    <col min="15116" max="15116" width="56.625" style="430" bestFit="1" customWidth="1"/>
    <col min="15117" max="15117" width="5.375" style="430" customWidth="1"/>
    <col min="15118" max="15118" width="17" style="430" bestFit="1" customWidth="1"/>
    <col min="15119" max="15119" width="16.875" style="430" customWidth="1"/>
    <col min="15120" max="15120" width="6" style="430" bestFit="1" customWidth="1"/>
    <col min="15121" max="15121" width="11.125" style="430" bestFit="1" customWidth="1"/>
    <col min="15122" max="15122" width="16.875" style="430" customWidth="1"/>
    <col min="15123" max="15123" width="6" style="430" bestFit="1" customWidth="1"/>
    <col min="15124" max="15125" width="9.375" style="430"/>
    <col min="15126" max="15127" width="13.125" style="430" bestFit="1" customWidth="1"/>
    <col min="15128" max="15128" width="9.375" style="430"/>
    <col min="15129" max="15129" width="15.875" style="430" bestFit="1" customWidth="1"/>
    <col min="15130" max="15132" width="10.875" style="430" bestFit="1" customWidth="1"/>
    <col min="15133" max="15370" width="9.375" style="430"/>
    <col min="15371" max="15371" width="1.5" style="430" customWidth="1"/>
    <col min="15372" max="15372" width="56.625" style="430" bestFit="1" customWidth="1"/>
    <col min="15373" max="15373" width="5.375" style="430" customWidth="1"/>
    <col min="15374" max="15374" width="17" style="430" bestFit="1" customWidth="1"/>
    <col min="15375" max="15375" width="16.875" style="430" customWidth="1"/>
    <col min="15376" max="15376" width="6" style="430" bestFit="1" customWidth="1"/>
    <col min="15377" max="15377" width="11.125" style="430" bestFit="1" customWidth="1"/>
    <col min="15378" max="15378" width="16.875" style="430" customWidth="1"/>
    <col min="15379" max="15379" width="6" style="430" bestFit="1" customWidth="1"/>
    <col min="15380" max="15381" width="9.375" style="430"/>
    <col min="15382" max="15383" width="13.125" style="430" bestFit="1" customWidth="1"/>
    <col min="15384" max="15384" width="9.375" style="430"/>
    <col min="15385" max="15385" width="15.875" style="430" bestFit="1" customWidth="1"/>
    <col min="15386" max="15388" width="10.875" style="430" bestFit="1" customWidth="1"/>
    <col min="15389" max="15626" width="9.375" style="430"/>
    <col min="15627" max="15627" width="1.5" style="430" customWidth="1"/>
    <col min="15628" max="15628" width="56.625" style="430" bestFit="1" customWidth="1"/>
    <col min="15629" max="15629" width="5.375" style="430" customWidth="1"/>
    <col min="15630" max="15630" width="17" style="430" bestFit="1" customWidth="1"/>
    <col min="15631" max="15631" width="16.875" style="430" customWidth="1"/>
    <col min="15632" max="15632" width="6" style="430" bestFit="1" customWidth="1"/>
    <col min="15633" max="15633" width="11.125" style="430" bestFit="1" customWidth="1"/>
    <col min="15634" max="15634" width="16.875" style="430" customWidth="1"/>
    <col min="15635" max="15635" width="6" style="430" bestFit="1" customWidth="1"/>
    <col min="15636" max="15637" width="9.375" style="430"/>
    <col min="15638" max="15639" width="13.125" style="430" bestFit="1" customWidth="1"/>
    <col min="15640" max="15640" width="9.375" style="430"/>
    <col min="15641" max="15641" width="15.875" style="430" bestFit="1" customWidth="1"/>
    <col min="15642" max="15644" width="10.875" style="430" bestFit="1" customWidth="1"/>
    <col min="15645" max="15882" width="9.375" style="430"/>
    <col min="15883" max="15883" width="1.5" style="430" customWidth="1"/>
    <col min="15884" max="15884" width="56.625" style="430" bestFit="1" customWidth="1"/>
    <col min="15885" max="15885" width="5.375" style="430" customWidth="1"/>
    <col min="15886" max="15886" width="17" style="430" bestFit="1" customWidth="1"/>
    <col min="15887" max="15887" width="16.875" style="430" customWidth="1"/>
    <col min="15888" max="15888" width="6" style="430" bestFit="1" customWidth="1"/>
    <col min="15889" max="15889" width="11.125" style="430" bestFit="1" customWidth="1"/>
    <col min="15890" max="15890" width="16.875" style="430" customWidth="1"/>
    <col min="15891" max="15891" width="6" style="430" bestFit="1" customWidth="1"/>
    <col min="15892" max="15893" width="9.375" style="430"/>
    <col min="15894" max="15895" width="13.125" style="430" bestFit="1" customWidth="1"/>
    <col min="15896" max="15896" width="9.375" style="430"/>
    <col min="15897" max="15897" width="15.875" style="430" bestFit="1" customWidth="1"/>
    <col min="15898" max="15900" width="10.875" style="430" bestFit="1" customWidth="1"/>
    <col min="15901" max="16138" width="9.375" style="430"/>
    <col min="16139" max="16139" width="1.5" style="430" customWidth="1"/>
    <col min="16140" max="16140" width="56.625" style="430" bestFit="1" customWidth="1"/>
    <col min="16141" max="16141" width="5.375" style="430" customWidth="1"/>
    <col min="16142" max="16142" width="17" style="430" bestFit="1" customWidth="1"/>
    <col min="16143" max="16143" width="16.875" style="430" customWidth="1"/>
    <col min="16144" max="16144" width="6" style="430" bestFit="1" customWidth="1"/>
    <col min="16145" max="16145" width="11.125" style="430" bestFit="1" customWidth="1"/>
    <col min="16146" max="16146" width="16.875" style="430" customWidth="1"/>
    <col min="16147" max="16147" width="6" style="430" bestFit="1" customWidth="1"/>
    <col min="16148" max="16149" width="9.375" style="430"/>
    <col min="16150" max="16151" width="13.125" style="430" bestFit="1" customWidth="1"/>
    <col min="16152" max="16152" width="9.375" style="430"/>
    <col min="16153" max="16153" width="15.875" style="430" bestFit="1" customWidth="1"/>
    <col min="16154" max="16156" width="10.875" style="430" bestFit="1" customWidth="1"/>
    <col min="16157" max="16384" width="9.375" style="430"/>
  </cols>
  <sheetData>
    <row r="2" spans="3:28">
      <c r="F2" s="543"/>
      <c r="H2" s="544"/>
      <c r="I2" s="545"/>
    </row>
    <row r="3" spans="3:28">
      <c r="C3" s="484" t="s">
        <v>592</v>
      </c>
      <c r="D3" s="547">
        <v>3.2183999999999999</v>
      </c>
      <c r="E3" s="548"/>
      <c r="F3" s="549"/>
      <c r="G3" s="550">
        <v>3.2837000000000001</v>
      </c>
      <c r="H3" s="548"/>
      <c r="I3" s="551"/>
      <c r="K3" s="552">
        <f>D3-G3</f>
        <v>-6.5300000000000136E-2</v>
      </c>
    </row>
    <row r="4" spans="3:28" ht="21.95" customHeight="1">
      <c r="D4" s="546"/>
      <c r="E4" s="546"/>
      <c r="F4" s="546"/>
      <c r="G4" s="546"/>
      <c r="H4" s="546"/>
      <c r="I4" s="546"/>
      <c r="O4" s="540" t="s">
        <v>606</v>
      </c>
      <c r="P4" s="540"/>
      <c r="Q4" s="540"/>
      <c r="R4" s="540"/>
    </row>
    <row r="5" spans="3:28" ht="16.7" customHeight="1">
      <c r="C5" s="1273" t="s">
        <v>601</v>
      </c>
      <c r="D5" s="1272">
        <v>44834</v>
      </c>
      <c r="E5" s="1274"/>
      <c r="F5" s="1275" t="s">
        <v>594</v>
      </c>
      <c r="G5" s="1272">
        <v>44469</v>
      </c>
      <c r="H5" s="1274"/>
      <c r="I5" s="1276" t="s">
        <v>594</v>
      </c>
      <c r="K5" s="1272" t="s">
        <v>593</v>
      </c>
      <c r="L5" s="1272"/>
      <c r="M5" s="1272"/>
    </row>
    <row r="6" spans="3:28">
      <c r="C6" s="1273"/>
      <c r="D6" s="553" t="s">
        <v>521</v>
      </c>
      <c r="E6" s="553" t="s">
        <v>522</v>
      </c>
      <c r="F6" s="1275"/>
      <c r="G6" s="553" t="s">
        <v>521</v>
      </c>
      <c r="H6" s="553" t="s">
        <v>522</v>
      </c>
      <c r="I6" s="1276"/>
      <c r="K6" s="553" t="s">
        <v>521</v>
      </c>
      <c r="L6" s="553" t="s">
        <v>522</v>
      </c>
      <c r="M6" s="553" t="s">
        <v>596</v>
      </c>
    </row>
    <row r="7" spans="3:28" ht="18.95" customHeight="1">
      <c r="C7" s="430" t="s">
        <v>575</v>
      </c>
      <c r="D7" s="542">
        <f>+'[80]ER CONSO'!J7</f>
        <v>33976714.718000002</v>
      </c>
      <c r="E7" s="542">
        <f>+D7/$D$3</f>
        <v>10557020.481605768</v>
      </c>
      <c r="F7" s="554"/>
      <c r="G7" s="555">
        <f>+'[80]ER CONSO'!K7</f>
        <v>30263697.030500002</v>
      </c>
      <c r="H7" s="555">
        <f>+G7/$G$3</f>
        <v>9216340.4179736283</v>
      </c>
      <c r="I7" s="556"/>
      <c r="K7" s="555">
        <f t="shared" ref="K7:L25" si="0">D7-G7</f>
        <v>3713017.6875</v>
      </c>
      <c r="L7" s="555">
        <f t="shared" si="0"/>
        <v>1340680.0636321399</v>
      </c>
      <c r="M7" s="556">
        <f>L7/H7</f>
        <v>0.14546772393710167</v>
      </c>
      <c r="U7" s="430">
        <f>N7/E7</f>
        <v>0</v>
      </c>
    </row>
    <row r="8" spans="3:28" ht="18.95" customHeight="1">
      <c r="C8" s="522" t="s">
        <v>576</v>
      </c>
      <c r="D8" s="557">
        <f>+'[80]ER CONSO'!J8</f>
        <v>172459.342</v>
      </c>
      <c r="E8" s="557">
        <f>+D8/$D$3</f>
        <v>53585.428163062395</v>
      </c>
      <c r="F8" s="558"/>
      <c r="G8" s="559">
        <f>+'[80]ER CONSO'!K8</f>
        <v>126656.344</v>
      </c>
      <c r="H8" s="559">
        <f>+G8/$G$3</f>
        <v>38571.228796784111</v>
      </c>
      <c r="I8" s="560"/>
      <c r="J8" s="561"/>
      <c r="K8" s="559">
        <f t="shared" si="0"/>
        <v>45802.998000000007</v>
      </c>
      <c r="L8" s="559">
        <f t="shared" si="0"/>
        <v>15014.199366278284</v>
      </c>
      <c r="M8" s="560">
        <f>L8/H8</f>
        <v>0.38925903671313938</v>
      </c>
      <c r="N8" s="522"/>
      <c r="O8" s="522"/>
      <c r="P8" s="523"/>
      <c r="Q8" s="522"/>
      <c r="R8" s="522"/>
    </row>
    <row r="9" spans="3:28" ht="68.099999999999994" customHeight="1">
      <c r="C9" s="521" t="s">
        <v>577</v>
      </c>
      <c r="D9" s="562">
        <f>SUM(D7:D8)</f>
        <v>34149174.060000002</v>
      </c>
      <c r="E9" s="562">
        <f>SUM(E7:E8)</f>
        <v>10610605.909768831</v>
      </c>
      <c r="F9" s="563"/>
      <c r="G9" s="562">
        <f>SUM(G7:G8)</f>
        <v>30390353.374500003</v>
      </c>
      <c r="H9" s="562">
        <f>+G9/$G$3</f>
        <v>9254911.6467704121</v>
      </c>
      <c r="I9" s="564"/>
      <c r="J9" s="561"/>
      <c r="K9" s="562">
        <f t="shared" si="0"/>
        <v>3758820.6854999997</v>
      </c>
      <c r="L9" s="562">
        <f t="shared" si="0"/>
        <v>1355694.2629984189</v>
      </c>
      <c r="M9" s="564">
        <f>L9/H9</f>
        <v>0.14648376070359365</v>
      </c>
      <c r="N9" s="522"/>
      <c r="O9" s="524">
        <f>M9</f>
        <v>0.14648376070359365</v>
      </c>
      <c r="P9" s="523"/>
      <c r="Q9" s="522"/>
      <c r="R9" s="616" t="s">
        <v>610</v>
      </c>
      <c r="U9" s="430">
        <f>N9/H9</f>
        <v>0</v>
      </c>
    </row>
    <row r="10" spans="3:28" ht="18.95" customHeight="1">
      <c r="C10" s="430" t="s">
        <v>573</v>
      </c>
      <c r="D10" s="542">
        <v>1378567.555999998</v>
      </c>
      <c r="E10" s="542">
        <f>+D10/$D$3</f>
        <v>428339.40964454325</v>
      </c>
      <c r="F10" s="554">
        <f>+E10/$E$9</f>
        <v>4.0368986774844351E-2</v>
      </c>
      <c r="G10" s="555">
        <v>-829693.89716666797</v>
      </c>
      <c r="H10" s="555">
        <f t="shared" ref="H10:H15" si="1">+G10/$G$3</f>
        <v>-252670.43188070407</v>
      </c>
      <c r="I10" s="554">
        <f>+H10/$H$9</f>
        <v>-2.7301225719305034E-2</v>
      </c>
      <c r="K10" s="555">
        <f t="shared" si="0"/>
        <v>2208261.453166666</v>
      </c>
      <c r="L10" s="555">
        <f t="shared" si="0"/>
        <v>681009.84152524732</v>
      </c>
      <c r="M10" s="554">
        <f>L10/H10</f>
        <v>-2.6952494459137175</v>
      </c>
      <c r="Q10" s="956">
        <f>+Q12/9</f>
        <v>-112639.81755803846</v>
      </c>
      <c r="R10" s="956">
        <f>+Q10*12</f>
        <v>-1351677.8106964615</v>
      </c>
    </row>
    <row r="11" spans="3:28" ht="18.95" customHeight="1">
      <c r="C11" s="430" t="s">
        <v>572</v>
      </c>
      <c r="D11" s="542">
        <f>-22563941.939</f>
        <v>-22563941.938999999</v>
      </c>
      <c r="E11" s="542">
        <f>+D11/$D$3</f>
        <v>-7010919.0712776538</v>
      </c>
      <c r="F11" s="554">
        <f>+E11/$E$9</f>
        <v>-0.66074634482682415</v>
      </c>
      <c r="G11" s="555">
        <v>-17456644.6175</v>
      </c>
      <c r="H11" s="555">
        <f t="shared" si="1"/>
        <v>-5316150.8717300603</v>
      </c>
      <c r="I11" s="554">
        <f>+H11/$H$9</f>
        <v>-0.57441400573339685</v>
      </c>
      <c r="K11" s="555">
        <f t="shared" si="0"/>
        <v>-5107297.3214999996</v>
      </c>
      <c r="L11" s="555">
        <f t="shared" si="0"/>
        <v>-1694768.1995475935</v>
      </c>
      <c r="M11" s="554">
        <f>-L11/H11</f>
        <v>-0.31879610651382001</v>
      </c>
    </row>
    <row r="12" spans="3:28" s="434" customFormat="1" ht="93" customHeight="1">
      <c r="C12" s="527" t="s">
        <v>574</v>
      </c>
      <c r="D12" s="565">
        <f>+D9+SUM(D10:D11)</f>
        <v>12963799.677000001</v>
      </c>
      <c r="E12" s="565">
        <f>+E9+SUM(E10:E11)</f>
        <v>4028026.2481357204</v>
      </c>
      <c r="F12" s="566">
        <f>+E12/E9</f>
        <v>0.37962264194802026</v>
      </c>
      <c r="G12" s="565">
        <f>+G9+SUM(G10:G11)</f>
        <v>12104014.859833334</v>
      </c>
      <c r="H12" s="567">
        <f t="shared" si="1"/>
        <v>3686090.3431596472</v>
      </c>
      <c r="I12" s="568">
        <f>+H12/H9</f>
        <v>0.39828476854729811</v>
      </c>
      <c r="J12" s="569"/>
      <c r="K12" s="565">
        <f t="shared" si="0"/>
        <v>859784.81716666743</v>
      </c>
      <c r="L12" s="567">
        <f t="shared" si="0"/>
        <v>341935.90497607319</v>
      </c>
      <c r="M12" s="568">
        <f>L12/H12</f>
        <v>9.2763842755674883E-2</v>
      </c>
      <c r="N12" s="529"/>
      <c r="O12" s="530">
        <f>F12-I12</f>
        <v>-1.8662126599277851E-2</v>
      </c>
      <c r="P12" s="531"/>
      <c r="Q12" s="532">
        <f>L11+L10</f>
        <v>-1013758.3580223462</v>
      </c>
      <c r="R12" s="539" t="s">
        <v>612</v>
      </c>
      <c r="S12" s="431"/>
      <c r="T12" s="430"/>
    </row>
    <row r="13" spans="3:28" ht="18.95" customHeight="1" thickBot="1">
      <c r="C13" s="430" t="s">
        <v>578</v>
      </c>
      <c r="D13" s="542">
        <f>+'[80]ER CONSO'!J16</f>
        <v>-4140473.375</v>
      </c>
      <c r="E13" s="542">
        <f>+D13/$D$3</f>
        <v>-1286500.5515162814</v>
      </c>
      <c r="F13" s="554">
        <f>+E13/$E$9</f>
        <v>-0.12124666229775279</v>
      </c>
      <c r="G13" s="542">
        <f>+'[80]ER CONSO'!K16</f>
        <v>-2981896.7889999999</v>
      </c>
      <c r="H13" s="542">
        <f t="shared" si="1"/>
        <v>-908090.50430916343</v>
      </c>
      <c r="I13" s="556">
        <f>+H13/$H$9</f>
        <v>-9.8119845868658309E-2</v>
      </c>
      <c r="K13" s="542">
        <f t="shared" si="0"/>
        <v>-1158576.5860000001</v>
      </c>
      <c r="L13" s="542">
        <f t="shared" si="0"/>
        <v>-378410.04720711801</v>
      </c>
      <c r="M13" s="554">
        <f t="shared" ref="M13:M15" si="2">-L13/H13</f>
        <v>-0.41670961805177809</v>
      </c>
      <c r="O13" s="505">
        <f>+F13-I13</f>
        <v>-2.3126816429094477E-2</v>
      </c>
      <c r="U13" s="430" t="s">
        <v>5</v>
      </c>
      <c r="V13" s="430" t="s">
        <v>523</v>
      </c>
      <c r="W13" s="430" t="s">
        <v>524</v>
      </c>
      <c r="Y13" s="436" t="s">
        <v>525</v>
      </c>
      <c r="Z13" s="436" t="s">
        <v>523</v>
      </c>
      <c r="AA13" s="436" t="s">
        <v>524</v>
      </c>
      <c r="AB13" s="436" t="s">
        <v>526</v>
      </c>
    </row>
    <row r="14" spans="3:28" ht="18.95" customHeight="1" thickBot="1">
      <c r="C14" s="430" t="s">
        <v>579</v>
      </c>
      <c r="D14" s="542">
        <v>-2550170.6840000004</v>
      </c>
      <c r="E14" s="542">
        <f>+D14/$D$3</f>
        <v>-792372.19860800414</v>
      </c>
      <c r="F14" s="554">
        <f>+E14/$E$9</f>
        <v>-7.4677375198573107E-2</v>
      </c>
      <c r="G14" s="542">
        <v>-2341657.1189999999</v>
      </c>
      <c r="H14" s="542">
        <f t="shared" si="1"/>
        <v>-713115.42436885217</v>
      </c>
      <c r="I14" s="556">
        <f>+H14/$H$9</f>
        <v>-7.7052645296478914E-2</v>
      </c>
      <c r="K14" s="542">
        <f t="shared" si="0"/>
        <v>-208513.56500000041</v>
      </c>
      <c r="L14" s="570">
        <f t="shared" si="0"/>
        <v>-79256.774239151971</v>
      </c>
      <c r="M14" s="554">
        <f t="shared" si="2"/>
        <v>-0.11114157895168056</v>
      </c>
      <c r="U14" s="430" t="s">
        <v>169</v>
      </c>
      <c r="V14" s="437">
        <v>4848524.0369999958</v>
      </c>
      <c r="W14" s="437">
        <v>5354675.3585000038</v>
      </c>
      <c r="Y14" s="430" t="s">
        <v>169</v>
      </c>
      <c r="Z14" s="437">
        <f>V14/$D$3/1000</f>
        <v>1506.5013786353454</v>
      </c>
      <c r="AA14" s="437">
        <f>W14/$G$3/1000</f>
        <v>1630.6834846362347</v>
      </c>
      <c r="AB14" s="438">
        <f>Z14-AA14</f>
        <v>-124.18210600088923</v>
      </c>
    </row>
    <row r="15" spans="3:28" ht="18.95" customHeight="1">
      <c r="C15" s="430" t="s">
        <v>530</v>
      </c>
      <c r="D15" s="542">
        <f>+'[80]ER CONSO'!J18</f>
        <v>-120074.78200000001</v>
      </c>
      <c r="E15" s="542">
        <f>+D15/$D$3</f>
        <v>-37308.843524732787</v>
      </c>
      <c r="F15" s="554">
        <f>+E15/$H$9</f>
        <v>-4.0312479414919165E-3</v>
      </c>
      <c r="G15" s="542">
        <f>+'[80]ER CONSO'!K18</f>
        <v>-700000</v>
      </c>
      <c r="H15" s="542">
        <f t="shared" si="1"/>
        <v>-213174.16329140909</v>
      </c>
      <c r="I15" s="556">
        <f>+H15/$H$9</f>
        <v>-2.3033624893199083E-2</v>
      </c>
      <c r="K15" s="542">
        <f t="shared" si="0"/>
        <v>579925.21799999999</v>
      </c>
      <c r="L15" s="542">
        <f t="shared" si="0"/>
        <v>175865.31976667629</v>
      </c>
      <c r="M15" s="554">
        <f t="shared" si="2"/>
        <v>0.82498421502547847</v>
      </c>
      <c r="U15" s="430" t="s">
        <v>170</v>
      </c>
      <c r="V15" s="437">
        <v>1649929.435999997</v>
      </c>
      <c r="W15" s="437">
        <v>701451.77400000021</v>
      </c>
      <c r="Y15" s="430" t="s">
        <v>170</v>
      </c>
      <c r="Z15" s="437">
        <f>V15/$D$3/1000</f>
        <v>512.6551814566235</v>
      </c>
      <c r="AA15" s="437">
        <f>W15/$G$3/1000</f>
        <v>213.61627858817803</v>
      </c>
      <c r="AB15" s="438">
        <f>Z15-AA15</f>
        <v>299.03890286844546</v>
      </c>
    </row>
    <row r="16" spans="3:28" ht="18.95" customHeight="1">
      <c r="C16" s="485" t="s">
        <v>595</v>
      </c>
      <c r="D16" s="571">
        <f>SUM(D10:D15)-D12</f>
        <v>-27996093.223999999</v>
      </c>
      <c r="E16" s="571">
        <f>SUM(E10:E15)-E12</f>
        <v>-8698761.2552821301</v>
      </c>
      <c r="F16" s="572">
        <f>E16/E9</f>
        <v>-0.81981757962318347</v>
      </c>
      <c r="G16" s="571">
        <f>SUM(G10:G15)-G12</f>
        <v>-24309892.422666669</v>
      </c>
      <c r="H16" s="571">
        <f>SUM(H10:H15)-H12</f>
        <v>-7403201.3955801893</v>
      </c>
      <c r="I16" s="573">
        <f>H16/H9</f>
        <v>-0.79992134751103816</v>
      </c>
      <c r="K16" s="571">
        <f t="shared" si="0"/>
        <v>-3686200.8013333306</v>
      </c>
      <c r="L16" s="571">
        <f t="shared" si="0"/>
        <v>-1295559.8597019408</v>
      </c>
      <c r="M16" s="573">
        <f>-L16/H16</f>
        <v>-0.17499994805968772</v>
      </c>
      <c r="U16" s="430" t="s">
        <v>171</v>
      </c>
      <c r="V16" s="437">
        <v>-283000</v>
      </c>
      <c r="W16" s="437">
        <v>0</v>
      </c>
      <c r="Y16" s="430" t="s">
        <v>171</v>
      </c>
      <c r="Z16" s="437">
        <f>V16/$D$3/1000</f>
        <v>-87.931891623166791</v>
      </c>
      <c r="AA16" s="437">
        <f>W16/$G$3</f>
        <v>0</v>
      </c>
      <c r="AB16" s="438">
        <f>Z16-AA16</f>
        <v>-87.931891623166791</v>
      </c>
    </row>
    <row r="17" spans="3:28" s="434" customFormat="1" ht="199.5" customHeight="1">
      <c r="C17" s="533" t="s">
        <v>5</v>
      </c>
      <c r="D17" s="574">
        <f>SUM(D9+D16)</f>
        <v>6153080.8360000029</v>
      </c>
      <c r="E17" s="574">
        <f>SUM(E9+E16)</f>
        <v>1911844.6544867009</v>
      </c>
      <c r="F17" s="575">
        <f>+E17/$E$9</f>
        <v>0.1801824203768165</v>
      </c>
      <c r="G17" s="574">
        <f>SUM(G9+G16)</f>
        <v>6080460.9518333338</v>
      </c>
      <c r="H17" s="576">
        <f>+G17/$G$3</f>
        <v>1851710.2511902226</v>
      </c>
      <c r="I17" s="577">
        <f>+H17/$H$9</f>
        <v>0.20007865248896181</v>
      </c>
      <c r="J17" s="569"/>
      <c r="K17" s="574">
        <f>D17-G17</f>
        <v>72619.884166669101</v>
      </c>
      <c r="L17" s="576">
        <f>E17-H17</f>
        <v>60134.403296478326</v>
      </c>
      <c r="M17" s="577">
        <f>L17/H17</f>
        <v>3.2475060964762589E-2</v>
      </c>
      <c r="N17" s="529"/>
      <c r="O17" s="530">
        <f>F17-I17</f>
        <v>-1.9896232112145307E-2</v>
      </c>
      <c r="P17" s="536">
        <f>O17-O12</f>
        <v>-1.2341055128674561E-3</v>
      </c>
      <c r="Q17" s="532">
        <f>L13+L14+L15</f>
        <v>-281801.5016795937</v>
      </c>
      <c r="R17" s="617" t="s">
        <v>611</v>
      </c>
      <c r="S17" s="443"/>
      <c r="T17" s="430"/>
      <c r="V17" s="439">
        <f>D17</f>
        <v>6153080.8360000029</v>
      </c>
      <c r="W17" s="439">
        <f>G17</f>
        <v>6080460.9518333338</v>
      </c>
      <c r="AB17" s="496">
        <f>SUM(AB14:AB16)</f>
        <v>86.924905244389436</v>
      </c>
    </row>
    <row r="18" spans="3:28" ht="18.95" customHeight="1">
      <c r="C18" s="430" t="s">
        <v>580</v>
      </c>
      <c r="D18" s="542">
        <f>+'[80]ER CONSO'!J17</f>
        <v>-1885213.8977000001</v>
      </c>
      <c r="E18" s="542">
        <f>+D18/$D$3</f>
        <v>-585761.21603902569</v>
      </c>
      <c r="F18" s="554">
        <f>+E18/$E$9</f>
        <v>-5.5205256044778259E-2</v>
      </c>
      <c r="G18" s="555">
        <f>+'[80]ER CONSO'!K17</f>
        <v>-1772592.1318444444</v>
      </c>
      <c r="H18" s="542">
        <f>+G18/$G$3</f>
        <v>-539815.49223267788</v>
      </c>
      <c r="I18" s="556">
        <f>+H18/$H$9</f>
        <v>-5.8327460362201461E-2</v>
      </c>
      <c r="K18" s="555">
        <f t="shared" si="0"/>
        <v>-112621.76585555566</v>
      </c>
      <c r="L18" s="542">
        <f>E18-H18</f>
        <v>-45945.723806347814</v>
      </c>
      <c r="M18" s="554">
        <f t="shared" ref="M18" si="3">-L18/H18</f>
        <v>-8.5113755472849092E-2</v>
      </c>
      <c r="V18" s="437" t="e">
        <f>#REF!-V17</f>
        <v>#REF!</v>
      </c>
      <c r="W18" s="437" t="e">
        <f>#REF!-W17</f>
        <v>#REF!</v>
      </c>
    </row>
    <row r="19" spans="3:28" ht="18.95" customHeight="1">
      <c r="C19" s="486" t="s">
        <v>528</v>
      </c>
      <c r="D19" s="578">
        <f>SUM(D17+D18)</f>
        <v>4267866.9383000024</v>
      </c>
      <c r="E19" s="578">
        <f>SUM(E17+E18)</f>
        <v>1326083.4384476752</v>
      </c>
      <c r="F19" s="579">
        <f>+E19/$E$9</f>
        <v>0.12497716433203823</v>
      </c>
      <c r="G19" s="578">
        <f>SUM(G17+G18)</f>
        <v>4307868.8199888896</v>
      </c>
      <c r="H19" s="578">
        <f>SUM(H17+H18)</f>
        <v>1311894.7589575448</v>
      </c>
      <c r="I19" s="580">
        <f>+H19/$H$9</f>
        <v>0.14175119212676035</v>
      </c>
      <c r="K19" s="578">
        <f t="shared" si="0"/>
        <v>-40001.881688887253</v>
      </c>
      <c r="L19" s="578">
        <f t="shared" si="0"/>
        <v>14188.679490130395</v>
      </c>
      <c r="M19" s="580">
        <f>L19/H19</f>
        <v>1.0815409843854377E-2</v>
      </c>
      <c r="O19" s="505"/>
      <c r="P19" s="518"/>
      <c r="Q19" s="516"/>
      <c r="R19" s="516"/>
    </row>
    <row r="20" spans="3:28" ht="18.95" customHeight="1">
      <c r="C20" s="430" t="s">
        <v>584</v>
      </c>
      <c r="D20" s="542">
        <f>+'[80]ER CONSO'!J25</f>
        <v>-1364428.1310000001</v>
      </c>
      <c r="E20" s="542">
        <f>+D20/$D$3</f>
        <v>-423946.10085756902</v>
      </c>
      <c r="F20" s="554"/>
      <c r="G20" s="555">
        <f>+'[80]ER CONSO'!K25</f>
        <v>-1039503.356</v>
      </c>
      <c r="H20" s="555">
        <f>+G20/$G$3</f>
        <v>-316564.65450558823</v>
      </c>
      <c r="I20" s="556"/>
      <c r="K20" s="555">
        <f t="shared" si="0"/>
        <v>-324924.77500000002</v>
      </c>
      <c r="L20" s="555">
        <f t="shared" si="0"/>
        <v>-107381.44635198079</v>
      </c>
      <c r="M20" s="554">
        <f t="shared" ref="M20:M22" si="4">-L20/H20</f>
        <v>-0.33920857816451272</v>
      </c>
    </row>
    <row r="21" spans="3:28" ht="18.95" customHeight="1">
      <c r="C21" s="430" t="s">
        <v>585</v>
      </c>
      <c r="D21" s="542">
        <f>+'[80]ER CONSO'!J27</f>
        <v>11929.391</v>
      </c>
      <c r="E21" s="542">
        <f>+D21/$D$3</f>
        <v>3706.621613223962</v>
      </c>
      <c r="F21" s="554"/>
      <c r="G21" s="555">
        <f>+'[80]ER CONSO'!K27</f>
        <v>525.72799999999995</v>
      </c>
      <c r="H21" s="555">
        <f>+G21/$G$3</f>
        <v>160.10232359837985</v>
      </c>
      <c r="I21" s="556"/>
      <c r="K21" s="555">
        <f t="shared" si="0"/>
        <v>11403.663</v>
      </c>
      <c r="L21" s="555">
        <f t="shared" si="0"/>
        <v>3546.5192896255821</v>
      </c>
      <c r="M21" s="554">
        <f t="shared" si="4"/>
        <v>-22.151579127121867</v>
      </c>
    </row>
    <row r="22" spans="3:28" ht="18.95" customHeight="1">
      <c r="C22" s="522" t="s">
        <v>586</v>
      </c>
      <c r="D22" s="557">
        <f>+'[80]ER CONSO'!J28</f>
        <v>-19027.425000000003</v>
      </c>
      <c r="E22" s="557">
        <f>+D22/$D$3</f>
        <v>-5912.075876211783</v>
      </c>
      <c r="F22" s="558"/>
      <c r="G22" s="559">
        <f>+'[80]ER CONSO'!K28</f>
        <v>-3081.6170000000002</v>
      </c>
      <c r="H22" s="559">
        <f>+G22/$G$3</f>
        <v>-938.45875079940311</v>
      </c>
      <c r="I22" s="560"/>
      <c r="J22" s="561"/>
      <c r="K22" s="559">
        <f t="shared" si="0"/>
        <v>-15945.808000000003</v>
      </c>
      <c r="L22" s="559">
        <f t="shared" si="0"/>
        <v>-4973.6171254123801</v>
      </c>
      <c r="M22" s="558">
        <f t="shared" si="4"/>
        <v>-5.299771696066264</v>
      </c>
      <c r="N22" s="522"/>
      <c r="O22" s="522"/>
      <c r="P22" s="523"/>
      <c r="Q22" s="522"/>
      <c r="R22" s="522"/>
    </row>
    <row r="23" spans="3:28" s="434" customFormat="1" ht="33.950000000000003" customHeight="1">
      <c r="C23" s="525" t="s">
        <v>529</v>
      </c>
      <c r="D23" s="581">
        <f>SUM(D19:D22)</f>
        <v>2896340.7733000023</v>
      </c>
      <c r="E23" s="581">
        <f>SUM(E19:E22)</f>
        <v>899931.88332711835</v>
      </c>
      <c r="F23" s="582">
        <f>+E23/$E$9</f>
        <v>8.4814372617362133E-2</v>
      </c>
      <c r="G23" s="581">
        <f>SUM(G19:G22)</f>
        <v>3265809.5749888895</v>
      </c>
      <c r="H23" s="581">
        <f>SUM(H19:H22)</f>
        <v>994551.74802475551</v>
      </c>
      <c r="I23" s="583">
        <f>+H23/$H$9</f>
        <v>0.10746204674701715</v>
      </c>
      <c r="J23" s="561"/>
      <c r="K23" s="581">
        <f t="shared" si="0"/>
        <v>-369468.80168888718</v>
      </c>
      <c r="L23" s="581">
        <f t="shared" si="0"/>
        <v>-94619.864697637153</v>
      </c>
      <c r="M23" s="583">
        <f>L23/H23</f>
        <v>-9.5138201592384064E-2</v>
      </c>
      <c r="N23" s="522"/>
      <c r="O23" s="526">
        <f>F23-I23</f>
        <v>-2.2647674129655015E-2</v>
      </c>
      <c r="P23" s="541">
        <f>O23-O17</f>
        <v>-2.7514420175097087E-3</v>
      </c>
      <c r="Q23" s="537">
        <f>L20+L21+L22</f>
        <v>-108808.54418776759</v>
      </c>
      <c r="R23" s="538" t="s">
        <v>605</v>
      </c>
      <c r="S23" s="430"/>
      <c r="T23" s="430"/>
    </row>
    <row r="24" spans="3:28" ht="18.95" customHeight="1" thickBot="1">
      <c r="C24" s="485" t="s">
        <v>587</v>
      </c>
      <c r="D24" s="542">
        <f>+'[80]ER CONSO'!J34</f>
        <v>-332664</v>
      </c>
      <c r="E24" s="542">
        <f>+D24/$D$3</f>
        <v>-103363.16181953766</v>
      </c>
      <c r="F24" s="554"/>
      <c r="G24" s="584">
        <f>+'[80]ER CONSO'!K34</f>
        <v>0</v>
      </c>
      <c r="H24" s="585">
        <f>+G24/$G$3</f>
        <v>0</v>
      </c>
      <c r="I24" s="556"/>
      <c r="K24" s="555">
        <f t="shared" si="0"/>
        <v>-332664</v>
      </c>
      <c r="L24" s="542">
        <f t="shared" si="0"/>
        <v>-103363.16181953766</v>
      </c>
      <c r="M24" s="556">
        <v>-1</v>
      </c>
    </row>
    <row r="25" spans="3:28" s="434" customFormat="1" ht="18.95" customHeight="1">
      <c r="C25" s="486" t="s">
        <v>588</v>
      </c>
      <c r="D25" s="578">
        <f>SUM(D23:D24)</f>
        <v>2563676.7733000023</v>
      </c>
      <c r="E25" s="578">
        <f>SUM(E23:E24)</f>
        <v>796568.72150758072</v>
      </c>
      <c r="F25" s="579">
        <f>+E25/$E$9</f>
        <v>7.5072877862159257E-2</v>
      </c>
      <c r="G25" s="578">
        <f>SUM(G23:G24)</f>
        <v>3265809.5749888895</v>
      </c>
      <c r="H25" s="578">
        <f>SUM(H23:H24)</f>
        <v>994551.74802475551</v>
      </c>
      <c r="I25" s="580">
        <f>+H25/$H$9</f>
        <v>0.10746204674701715</v>
      </c>
      <c r="J25" s="546"/>
      <c r="K25" s="578">
        <f t="shared" si="0"/>
        <v>-702132.80168888718</v>
      </c>
      <c r="L25" s="578">
        <f t="shared" si="0"/>
        <v>-197983.02651717479</v>
      </c>
      <c r="M25" s="580">
        <f>L25/H25</f>
        <v>-0.19906759694543996</v>
      </c>
      <c r="N25" s="430"/>
      <c r="O25" s="515"/>
      <c r="P25" s="519"/>
      <c r="Q25" s="430"/>
      <c r="R25" s="430"/>
      <c r="S25" s="430"/>
      <c r="T25" s="430"/>
    </row>
    <row r="26" spans="3:28" ht="18.95" customHeight="1">
      <c r="C26" s="485"/>
      <c r="D26" s="571"/>
      <c r="E26" s="571"/>
      <c r="F26" s="586"/>
      <c r="G26" s="587"/>
      <c r="H26" s="587"/>
      <c r="I26" s="588"/>
      <c r="K26" s="587"/>
      <c r="L26" s="587"/>
      <c r="M26" s="588"/>
    </row>
    <row r="27" spans="3:28" ht="18.95" customHeight="1">
      <c r="C27" s="486" t="s">
        <v>589</v>
      </c>
      <c r="D27" s="578">
        <f>SUM(D25:D26)</f>
        <v>2563676.7733000023</v>
      </c>
      <c r="E27" s="578">
        <f>SUM(E25:E26)</f>
        <v>796568.72150758072</v>
      </c>
      <c r="F27" s="579">
        <f>+E27/$E$9</f>
        <v>7.5072877862159257E-2</v>
      </c>
      <c r="G27" s="578">
        <f>SUM(G25:G26)</f>
        <v>3265809.5749888895</v>
      </c>
      <c r="H27" s="578">
        <f>SUM(H25:H26)</f>
        <v>994551.74802475551</v>
      </c>
      <c r="I27" s="580">
        <f>+H27/$H$9</f>
        <v>0.10746204674701715</v>
      </c>
      <c r="K27" s="578">
        <f t="shared" ref="K27:L29" si="5">D27-G27</f>
        <v>-702132.80168888718</v>
      </c>
      <c r="L27" s="578">
        <f t="shared" si="5"/>
        <v>-197983.02651717479</v>
      </c>
      <c r="M27" s="580">
        <f>L27/H27</f>
        <v>-0.19906759694543996</v>
      </c>
      <c r="R27" s="520"/>
    </row>
    <row r="28" spans="3:28" ht="18.95" customHeight="1">
      <c r="C28" s="487" t="s">
        <v>590</v>
      </c>
      <c r="D28" s="589">
        <f>+'[80]ER CONSO'!J44</f>
        <v>-192836.58462402981</v>
      </c>
      <c r="E28" s="589">
        <f>+D28/$D$3</f>
        <v>-59916.910459865096</v>
      </c>
      <c r="F28" s="590"/>
      <c r="G28" s="589">
        <f>+'[80]ER CONSO'!K44</f>
        <v>2670.9462490822771</v>
      </c>
      <c r="H28" s="589">
        <f>+G28/$G$3</f>
        <v>813.39533120634565</v>
      </c>
      <c r="I28" s="573"/>
      <c r="K28" s="589">
        <f t="shared" si="5"/>
        <v>-195507.53087311209</v>
      </c>
      <c r="L28" s="589">
        <f t="shared" si="5"/>
        <v>-60730.305791071441</v>
      </c>
      <c r="M28" s="556">
        <f t="shared" ref="M28:M29" si="6">L28/H28</f>
        <v>-74.662717452536143</v>
      </c>
    </row>
    <row r="29" spans="3:28" ht="18.95" customHeight="1">
      <c r="C29" s="487" t="s">
        <v>591</v>
      </c>
      <c r="D29" s="589">
        <f>+'[80]ER CONSO'!J46</f>
        <v>2756513.3574582711</v>
      </c>
      <c r="E29" s="589">
        <f>+D29/$D$3</f>
        <v>856485.63182272902</v>
      </c>
      <c r="F29" s="590"/>
      <c r="G29" s="589">
        <f>+'[80]ER CONSO'!K46</f>
        <v>3339471.7597398027</v>
      </c>
      <c r="H29" s="589">
        <f>+G29/$G$3</f>
        <v>1016984.4260254599</v>
      </c>
      <c r="I29" s="573"/>
      <c r="K29" s="589">
        <f t="shared" si="5"/>
        <v>-582958.4022815316</v>
      </c>
      <c r="L29" s="589">
        <f t="shared" si="5"/>
        <v>-160498.79420273087</v>
      </c>
      <c r="M29" s="556">
        <f t="shared" si="6"/>
        <v>-0.15781834027683805</v>
      </c>
    </row>
    <row r="30" spans="3:28">
      <c r="F30" s="543"/>
      <c r="G30" s="555"/>
      <c r="H30" s="555"/>
      <c r="I30" s="545"/>
    </row>
    <row r="31" spans="3:28">
      <c r="F31" s="543"/>
      <c r="H31" s="544"/>
      <c r="I31" s="545"/>
    </row>
    <row r="32" spans="3:28">
      <c r="F32" s="543"/>
      <c r="H32" s="544"/>
      <c r="I32" s="545"/>
    </row>
    <row r="33" spans="5:20">
      <c r="F33" s="543"/>
      <c r="H33" s="544"/>
      <c r="I33" s="545"/>
    </row>
    <row r="34" spans="5:20">
      <c r="F34" s="543"/>
      <c r="H34" s="544"/>
      <c r="I34" s="545"/>
    </row>
    <row r="35" spans="5:20">
      <c r="F35" s="543"/>
      <c r="H35" s="544"/>
      <c r="I35" s="545"/>
    </row>
    <row r="36" spans="5:20">
      <c r="F36" s="543"/>
      <c r="H36" s="544"/>
      <c r="I36" s="545"/>
    </row>
    <row r="37" spans="5:20">
      <c r="F37" s="543"/>
      <c r="H37" s="544"/>
      <c r="I37" s="545"/>
    </row>
    <row r="38" spans="5:20">
      <c r="F38" s="543"/>
      <c r="H38" s="544"/>
      <c r="I38" s="545"/>
    </row>
    <row r="39" spans="5:20">
      <c r="F39" s="543"/>
      <c r="H39" s="544"/>
      <c r="I39" s="545"/>
    </row>
    <row r="40" spans="5:20">
      <c r="F40" s="543"/>
      <c r="H40" s="544"/>
      <c r="I40" s="545"/>
      <c r="T40" s="430">
        <f>O40/6</f>
        <v>0</v>
      </c>
    </row>
    <row r="41" spans="5:20">
      <c r="F41" s="543"/>
      <c r="H41" s="544"/>
      <c r="I41" s="545"/>
    </row>
    <row r="42" spans="5:20">
      <c r="F42" s="543"/>
      <c r="H42" s="544"/>
      <c r="I42" s="545"/>
    </row>
    <row r="43" spans="5:20">
      <c r="E43" s="591">
        <f>(E11+E10)/E9</f>
        <v>-0.6203773580519798</v>
      </c>
      <c r="F43" s="543"/>
      <c r="H43" s="591">
        <f>(H11+H10)/H9</f>
        <v>-0.60171523145270189</v>
      </c>
      <c r="I43" s="545"/>
    </row>
    <row r="44" spans="5:20">
      <c r="F44" s="543"/>
      <c r="H44" s="544"/>
      <c r="I44" s="545"/>
    </row>
  </sheetData>
  <mergeCells count="6">
    <mergeCell ref="K5:M5"/>
    <mergeCell ref="C5:C6"/>
    <mergeCell ref="D5:E5"/>
    <mergeCell ref="F5:F6"/>
    <mergeCell ref="G5:H5"/>
    <mergeCell ref="I5:I6"/>
  </mergeCell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C77E79-D96E-4CF9-9D44-B660A6EB5D23}">
  <sheetPr>
    <tabColor rgb="FF92D050"/>
  </sheetPr>
  <dimension ref="A1:D5"/>
  <sheetViews>
    <sheetView zoomScale="80" zoomScaleNormal="80" workbookViewId="0">
      <selection activeCell="C10" sqref="C10"/>
    </sheetView>
  </sheetViews>
  <sheetFormatPr baseColWidth="10" defaultRowHeight="15.75"/>
  <cols>
    <col min="1" max="1" width="21.125" bestFit="1" customWidth="1"/>
    <col min="2" max="2" width="20" bestFit="1" customWidth="1"/>
    <col min="3" max="3" width="15.375" bestFit="1" customWidth="1"/>
    <col min="4" max="4" width="13.125" bestFit="1" customWidth="1"/>
  </cols>
  <sheetData>
    <row r="1" spans="1:4" ht="16.5" thickBot="1">
      <c r="A1" s="940" t="s">
        <v>2202</v>
      </c>
    </row>
    <row r="3" spans="1:4">
      <c r="A3" s="941" t="s">
        <v>2203</v>
      </c>
      <c r="B3" s="941" t="s">
        <v>2204</v>
      </c>
      <c r="C3" s="941" t="s">
        <v>2205</v>
      </c>
      <c r="D3" s="941" t="s">
        <v>2206</v>
      </c>
    </row>
    <row r="4" spans="1:4">
      <c r="A4" s="942">
        <v>2674493.1740000001</v>
      </c>
      <c r="B4" s="942">
        <v>221514.58557716911</v>
      </c>
      <c r="C4" s="942">
        <v>55719.87568505494</v>
      </c>
      <c r="D4" s="942">
        <v>165794.70989211404</v>
      </c>
    </row>
    <row r="5" spans="1:4">
      <c r="B5" s="943"/>
      <c r="C5" s="944"/>
      <c r="D5" s="944"/>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131E3F-0729-4C61-B937-D968E1FD93E8}">
  <sheetPr>
    <tabColor theme="4"/>
  </sheetPr>
  <dimension ref="A1:I16"/>
  <sheetViews>
    <sheetView workbookViewId="0">
      <selection activeCell="O14" sqref="O14"/>
    </sheetView>
  </sheetViews>
  <sheetFormatPr baseColWidth="10" defaultRowHeight="15.75"/>
  <sheetData>
    <row r="1" spans="1:9" ht="17.25" thickTop="1" thickBot="1">
      <c r="A1" s="932" t="s">
        <v>2187</v>
      </c>
      <c r="B1" s="933">
        <v>2017</v>
      </c>
      <c r="C1" s="933">
        <v>2018</v>
      </c>
      <c r="D1" s="933">
        <v>2019</v>
      </c>
      <c r="E1" s="933">
        <v>2020</v>
      </c>
      <c r="F1" s="933">
        <v>2021</v>
      </c>
      <c r="G1" s="933">
        <v>2022</v>
      </c>
    </row>
    <row r="2" spans="1:9" ht="17.25" thickTop="1" thickBot="1">
      <c r="A2" s="932"/>
      <c r="B2" s="932"/>
      <c r="C2" s="932"/>
      <c r="D2" s="932"/>
      <c r="E2" s="932"/>
      <c r="F2" s="932"/>
      <c r="G2" s="932"/>
    </row>
    <row r="3" spans="1:9" ht="17.25" thickTop="1" thickBot="1">
      <c r="A3" s="1277"/>
      <c r="B3" s="1277"/>
      <c r="C3" s="1277"/>
      <c r="D3" s="1277"/>
      <c r="E3" s="1277"/>
      <c r="F3" s="1277"/>
      <c r="G3" s="1277"/>
    </row>
    <row r="4" spans="1:9" ht="17.25" thickTop="1" thickBot="1">
      <c r="A4" s="934" t="s">
        <v>2188</v>
      </c>
      <c r="B4" s="936">
        <v>4.26</v>
      </c>
      <c r="C4" s="937">
        <v>5.53</v>
      </c>
      <c r="D4" s="937">
        <v>7.24</v>
      </c>
      <c r="E4" s="937">
        <v>7.81</v>
      </c>
      <c r="F4" s="937">
        <v>6.15</v>
      </c>
      <c r="G4" s="937">
        <v>6.19</v>
      </c>
    </row>
    <row r="5" spans="1:9" ht="17.25" thickTop="1" thickBot="1">
      <c r="A5" s="934" t="s">
        <v>2189</v>
      </c>
      <c r="B5" s="936">
        <v>4.29</v>
      </c>
      <c r="C5" s="937">
        <v>5.61</v>
      </c>
      <c r="D5" s="937">
        <v>7.28</v>
      </c>
      <c r="E5" s="937">
        <v>7.84</v>
      </c>
      <c r="F5" s="937">
        <v>6.23</v>
      </c>
      <c r="G5" s="937">
        <v>6.25</v>
      </c>
    </row>
    <row r="6" spans="1:9" ht="17.25" thickTop="1" thickBot="1">
      <c r="A6" s="934" t="s">
        <v>2190</v>
      </c>
      <c r="B6" s="936">
        <v>4.29</v>
      </c>
      <c r="C6" s="937">
        <v>6.04</v>
      </c>
      <c r="D6" s="937">
        <v>7.9</v>
      </c>
      <c r="E6" s="937">
        <v>7.35</v>
      </c>
      <c r="F6" s="937">
        <v>6.23</v>
      </c>
      <c r="G6" s="937">
        <v>6.26</v>
      </c>
    </row>
    <row r="7" spans="1:9" ht="17.25" thickTop="1" thickBot="1">
      <c r="A7" s="934" t="s">
        <v>2191</v>
      </c>
      <c r="B7" s="936">
        <v>4.41</v>
      </c>
      <c r="C7" s="937">
        <v>6.5</v>
      </c>
      <c r="D7" s="937">
        <v>7.86</v>
      </c>
      <c r="E7" s="937">
        <v>6.8</v>
      </c>
      <c r="F7" s="937">
        <v>6.25</v>
      </c>
      <c r="G7" s="937">
        <v>6.26</v>
      </c>
    </row>
    <row r="8" spans="1:9" ht="17.25" thickTop="1" thickBot="1">
      <c r="A8" s="934" t="s">
        <v>2192</v>
      </c>
      <c r="B8" s="936">
        <v>4.83</v>
      </c>
      <c r="C8" s="937">
        <v>6.39</v>
      </c>
      <c r="D8" s="937">
        <v>7.83</v>
      </c>
      <c r="E8" s="937">
        <v>6.8</v>
      </c>
      <c r="F8" s="937">
        <v>6.25</v>
      </c>
      <c r="G8" s="937">
        <v>6.6</v>
      </c>
    </row>
    <row r="9" spans="1:9" ht="17.25" thickTop="1" thickBot="1">
      <c r="A9" s="934" t="s">
        <v>2193</v>
      </c>
      <c r="B9" s="936">
        <v>4.9400000000000004</v>
      </c>
      <c r="C9" s="937">
        <v>6.72</v>
      </c>
      <c r="D9" s="937">
        <v>7.83</v>
      </c>
      <c r="E9" s="937">
        <v>6.8</v>
      </c>
      <c r="F9" s="937">
        <v>6.26</v>
      </c>
      <c r="G9" s="937">
        <v>7.01</v>
      </c>
    </row>
    <row r="10" spans="1:9" ht="17.25" thickTop="1" thickBot="1">
      <c r="A10" s="934" t="s">
        <v>2194</v>
      </c>
      <c r="B10" s="936">
        <v>5.15</v>
      </c>
      <c r="C10" s="937">
        <v>7.25</v>
      </c>
      <c r="D10" s="937">
        <v>7.83</v>
      </c>
      <c r="E10" s="937">
        <v>6.82</v>
      </c>
      <c r="F10" s="937">
        <v>6.29</v>
      </c>
      <c r="G10" s="937">
        <v>7.02</v>
      </c>
    </row>
    <row r="11" spans="1:9" ht="17.25" thickTop="1" thickBot="1">
      <c r="A11" s="934" t="s">
        <v>2195</v>
      </c>
      <c r="B11" s="936">
        <v>5.19</v>
      </c>
      <c r="C11" s="937">
        <v>7.25</v>
      </c>
      <c r="D11" s="937">
        <v>7.83</v>
      </c>
      <c r="E11" s="937">
        <v>6.79</v>
      </c>
      <c r="F11" s="937">
        <v>6.26</v>
      </c>
      <c r="G11" s="937">
        <v>7.03</v>
      </c>
    </row>
    <row r="12" spans="1:9" ht="17.25" thickTop="1" thickBot="1">
      <c r="A12" s="934" t="s">
        <v>2196</v>
      </c>
      <c r="B12" s="936">
        <v>5.22</v>
      </c>
      <c r="C12" s="937">
        <v>7.29</v>
      </c>
      <c r="D12" s="937">
        <v>7.82</v>
      </c>
      <c r="E12" s="937">
        <v>6.76</v>
      </c>
      <c r="F12" s="937">
        <v>6.25</v>
      </c>
      <c r="G12" s="937">
        <v>7.03</v>
      </c>
    </row>
    <row r="13" spans="1:9" ht="17.25" thickTop="1" thickBot="1">
      <c r="A13" s="934" t="s">
        <v>2197</v>
      </c>
      <c r="B13" s="936">
        <v>5.23</v>
      </c>
      <c r="C13" s="937">
        <v>7.27</v>
      </c>
      <c r="D13" s="937">
        <v>7.81</v>
      </c>
      <c r="E13" s="937">
        <v>6.3</v>
      </c>
      <c r="F13" s="937">
        <v>6.24</v>
      </c>
      <c r="G13" s="937">
        <v>7.23</v>
      </c>
    </row>
    <row r="14" spans="1:9" ht="17.25" thickTop="1" thickBot="1">
      <c r="A14" s="934" t="s">
        <v>2198</v>
      </c>
      <c r="B14" s="936">
        <v>5.23</v>
      </c>
      <c r="C14" s="937">
        <v>7.25</v>
      </c>
      <c r="D14" s="937">
        <v>7.8</v>
      </c>
      <c r="E14" s="937">
        <v>6.13</v>
      </c>
      <c r="F14" s="937">
        <v>6.25</v>
      </c>
      <c r="G14" s="937">
        <v>7.27</v>
      </c>
    </row>
    <row r="15" spans="1:9" ht="17.25" thickTop="1" thickBot="1">
      <c r="A15" s="935" t="s">
        <v>2199</v>
      </c>
      <c r="B15" s="938">
        <v>5.23</v>
      </c>
      <c r="C15" s="939">
        <v>7.24</v>
      </c>
      <c r="D15" s="939">
        <v>7.81</v>
      </c>
      <c r="E15" s="939">
        <v>6.12</v>
      </c>
      <c r="F15" s="939">
        <v>6.25</v>
      </c>
      <c r="G15" s="939">
        <v>7.26</v>
      </c>
    </row>
    <row r="16" spans="1:9" ht="16.5" thickTop="1">
      <c r="F16" s="709">
        <f>AVERAGE(F4:F15)</f>
        <v>6.2424999999999997</v>
      </c>
      <c r="G16" s="709">
        <f>AVERAGE(G4:G15)</f>
        <v>6.7841666666666676</v>
      </c>
      <c r="H16" s="709">
        <f>+G16-F16</f>
        <v>0.54166666666666785</v>
      </c>
      <c r="I16" s="415">
        <f>+H16/F16</f>
        <v>8.6770791616606793E-2</v>
      </c>
    </row>
  </sheetData>
  <mergeCells count="1">
    <mergeCell ref="A3:G3"/>
  </mergeCell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9758A1-B0CF-4A05-9202-BDFA2314C963}">
  <sheetPr>
    <tabColor theme="4"/>
  </sheetPr>
  <dimension ref="B2:F5"/>
  <sheetViews>
    <sheetView zoomScale="80" zoomScaleNormal="80" workbookViewId="0">
      <selection activeCell="O14" sqref="O14"/>
    </sheetView>
  </sheetViews>
  <sheetFormatPr baseColWidth="10" defaultRowHeight="15.75"/>
  <sheetData>
    <row r="2" spans="2:6">
      <c r="D2">
        <v>2022</v>
      </c>
      <c r="E2">
        <v>2021</v>
      </c>
    </row>
    <row r="3" spans="2:6">
      <c r="B3" t="s">
        <v>2184</v>
      </c>
      <c r="C3" t="s">
        <v>2185</v>
      </c>
      <c r="D3" s="709">
        <f>25000*3</f>
        <v>75000</v>
      </c>
      <c r="E3" s="709">
        <f>11000*6+25000*6</f>
        <v>216000</v>
      </c>
    </row>
    <row r="4" spans="2:6">
      <c r="C4" t="s">
        <v>2186</v>
      </c>
      <c r="D4" s="709">
        <f>30559*9</f>
        <v>275031</v>
      </c>
      <c r="E4" s="709"/>
    </row>
    <row r="5" spans="2:6">
      <c r="D5" s="709">
        <f>SUM(D3:D4)</f>
        <v>350031</v>
      </c>
      <c r="E5" s="709">
        <f>SUM(E3:E4)</f>
        <v>216000</v>
      </c>
      <c r="F5" s="709">
        <f>+D5-E5</f>
        <v>134031</v>
      </c>
    </row>
  </sheetData>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FE4CFC-D169-4C13-99C9-BD15248192EE}">
  <dimension ref="A1:L82"/>
  <sheetViews>
    <sheetView zoomScale="90" zoomScaleNormal="90" workbookViewId="0">
      <selection activeCell="H19" sqref="H19"/>
    </sheetView>
  </sheetViews>
  <sheetFormatPr baseColWidth="10" defaultRowHeight="12.75"/>
  <cols>
    <col min="1" max="1" width="22.875" style="696" bestFit="1" customWidth="1"/>
    <col min="2" max="2" width="22.375" style="696" customWidth="1"/>
    <col min="3" max="3" width="21.125" style="696" bestFit="1" customWidth="1"/>
    <col min="4" max="4" width="16.5" style="696" customWidth="1"/>
    <col min="5" max="5" width="17.75" style="696" customWidth="1"/>
    <col min="6" max="6" width="9.125" style="696" bestFit="1" customWidth="1"/>
    <col min="7" max="7" width="6.25" style="696" bestFit="1" customWidth="1"/>
    <col min="8" max="8" width="26.875" style="696" bestFit="1" customWidth="1"/>
    <col min="9" max="9" width="22.875" style="696" bestFit="1" customWidth="1"/>
    <col min="10" max="11" width="50.375" style="696" bestFit="1" customWidth="1"/>
    <col min="12" max="12" width="18.875" style="696" bestFit="1" customWidth="1"/>
    <col min="13" max="16384" width="11" style="696"/>
  </cols>
  <sheetData>
    <row r="1" spans="1:12">
      <c r="A1" s="696" t="s">
        <v>579</v>
      </c>
      <c r="B1" s="863">
        <v>-4257891.1190000018</v>
      </c>
      <c r="C1" s="863">
        <v>-1305661.009781976</v>
      </c>
      <c r="D1" s="509">
        <v>-8.9845221274723386E-2</v>
      </c>
      <c r="E1" s="863">
        <v>-2952668.1387749994</v>
      </c>
      <c r="F1" s="868">
        <v>-895725.07546869293</v>
      </c>
      <c r="G1" s="509">
        <v>-6.9293069314898384E-2</v>
      </c>
    </row>
    <row r="4" spans="1:12" ht="38.25">
      <c r="A4" s="864" t="s">
        <v>374</v>
      </c>
      <c r="B4" s="865" t="s">
        <v>375</v>
      </c>
      <c r="C4" s="866" t="s">
        <v>2073</v>
      </c>
      <c r="D4" s="866" t="s">
        <v>431</v>
      </c>
      <c r="E4" s="866" t="s">
        <v>2103</v>
      </c>
      <c r="F4" s="696" t="s">
        <v>2104</v>
      </c>
      <c r="G4" s="696" t="s">
        <v>2105</v>
      </c>
    </row>
    <row r="5" spans="1:12">
      <c r="A5" s="870">
        <v>603300000</v>
      </c>
      <c r="B5" s="867" t="s">
        <v>2074</v>
      </c>
      <c r="C5" s="871">
        <v>105614.5610000001</v>
      </c>
      <c r="D5" s="700">
        <f>IFERROR(VLOOKUP(A5,'[81]Balance globale aprés conso 21'!$B$1:$M$65536,12,0),0)</f>
        <v>-128686.58100000001</v>
      </c>
      <c r="E5" s="696" t="s">
        <v>2088</v>
      </c>
      <c r="F5" s="700">
        <f>+C5-D5</f>
        <v>234301.14200000011</v>
      </c>
      <c r="G5" s="509">
        <f>+F5/D5</f>
        <v>-1.820711531686432</v>
      </c>
    </row>
    <row r="6" spans="1:12" ht="15.75">
      <c r="A6" s="870">
        <v>605020000</v>
      </c>
      <c r="B6" s="867" t="s">
        <v>2075</v>
      </c>
      <c r="C6" s="871">
        <v>566439.49899999995</v>
      </c>
      <c r="D6" s="700">
        <f>IFERROR(VLOOKUP(A6,'[81]Balance globale aprés conso 21'!$B$1:$M$65536,12,0),0)</f>
        <v>565343.46707500005</v>
      </c>
      <c r="E6" s="696" t="s">
        <v>2088</v>
      </c>
      <c r="F6" s="700">
        <f t="shared" ref="F6:F54" si="0">+C6-D6</f>
        <v>1096.0319249999011</v>
      </c>
      <c r="G6" s="509">
        <f t="shared" ref="G6:G54" si="1">+F6/D6</f>
        <v>1.9387009646907238E-3</v>
      </c>
      <c r="I6" s="106" t="s">
        <v>1925</v>
      </c>
      <c r="J6" t="s">
        <v>2107</v>
      </c>
      <c r="K6" t="s">
        <v>2108</v>
      </c>
      <c r="L6" t="s">
        <v>2106</v>
      </c>
    </row>
    <row r="7" spans="1:12" ht="15.75">
      <c r="A7" s="870">
        <v>606140000</v>
      </c>
      <c r="B7" s="867" t="s">
        <v>2076</v>
      </c>
      <c r="C7" s="871">
        <v>436049.76199999999</v>
      </c>
      <c r="D7" s="700">
        <f>IFERROR(VLOOKUP(A7,'[81]Balance globale aprés conso 21'!$B$1:$M$65536,12,0),0)</f>
        <v>338001.55900000001</v>
      </c>
      <c r="E7" s="696" t="s">
        <v>2089</v>
      </c>
      <c r="F7" s="700">
        <f t="shared" si="0"/>
        <v>98048.20299999998</v>
      </c>
      <c r="G7" s="509">
        <f t="shared" si="1"/>
        <v>0.29008210284615871</v>
      </c>
      <c r="H7" s="696" t="s">
        <v>2116</v>
      </c>
      <c r="I7" s="649" t="s">
        <v>2096</v>
      </c>
      <c r="J7" s="44">
        <v>137023.47100000002</v>
      </c>
      <c r="K7" s="44">
        <v>137167.16100000002</v>
      </c>
      <c r="L7" s="44">
        <v>-143.69000000000233</v>
      </c>
    </row>
    <row r="8" spans="1:12" ht="15.75">
      <c r="A8" s="870">
        <v>606200000</v>
      </c>
      <c r="B8" s="867" t="s">
        <v>2077</v>
      </c>
      <c r="C8" s="871">
        <v>65264.171999999999</v>
      </c>
      <c r="D8" s="700">
        <f>IFERROR(VLOOKUP(A8,'[81]Balance globale aprés conso 21'!$B$1:$M$65536,12,0),0)</f>
        <v>45323.989999999991</v>
      </c>
      <c r="E8" s="696" t="s">
        <v>2090</v>
      </c>
      <c r="F8" s="700">
        <f t="shared" si="0"/>
        <v>19940.182000000008</v>
      </c>
      <c r="G8" s="509">
        <f t="shared" si="1"/>
        <v>0.43994763038293877</v>
      </c>
      <c r="I8" s="649" t="s">
        <v>2090</v>
      </c>
      <c r="J8" s="44">
        <v>65264.171999999999</v>
      </c>
      <c r="K8" s="44">
        <v>45323.989999999991</v>
      </c>
      <c r="L8" s="44">
        <v>19940.182000000008</v>
      </c>
    </row>
    <row r="9" spans="1:12" ht="15.75">
      <c r="A9" s="870">
        <v>606600000</v>
      </c>
      <c r="B9" s="867" t="s">
        <v>2078</v>
      </c>
      <c r="C9" s="871">
        <v>19607.598000000002</v>
      </c>
      <c r="D9" s="700">
        <f>IFERROR(VLOOKUP(A9,'[81]Balance globale aprés conso 21'!$B$1:$M$65536,12,0),0)</f>
        <v>32398.642700000004</v>
      </c>
      <c r="E9" s="696" t="s">
        <v>2088</v>
      </c>
      <c r="F9" s="700">
        <f t="shared" si="0"/>
        <v>-12791.044700000002</v>
      </c>
      <c r="G9" s="509">
        <f t="shared" si="1"/>
        <v>-0.39480186927707317</v>
      </c>
      <c r="I9" s="649" t="s">
        <v>2100</v>
      </c>
      <c r="J9" s="44">
        <v>245618.05500000002</v>
      </c>
      <c r="K9" s="44">
        <v>205418.45699999999</v>
      </c>
      <c r="L9" s="44">
        <v>40199.598000000027</v>
      </c>
    </row>
    <row r="10" spans="1:12" ht="15.75">
      <c r="A10" s="870">
        <v>606700000</v>
      </c>
      <c r="B10" s="867" t="s">
        <v>2079</v>
      </c>
      <c r="C10" s="871">
        <v>15667.323999999999</v>
      </c>
      <c r="D10" s="700">
        <f>IFERROR(VLOOKUP(A10,'[81]Balance globale aprés conso 21'!$B$1:$M$65536,12,0),0)</f>
        <v>17067.322</v>
      </c>
      <c r="E10" s="696" t="s">
        <v>2091</v>
      </c>
      <c r="F10" s="700">
        <f t="shared" si="0"/>
        <v>-1399.9980000000014</v>
      </c>
      <c r="G10" s="509">
        <f t="shared" si="1"/>
        <v>-8.2027983066119067E-2</v>
      </c>
      <c r="I10" s="649" t="s">
        <v>2089</v>
      </c>
      <c r="J10" s="44">
        <v>436049.76199999999</v>
      </c>
      <c r="K10" s="44">
        <v>338001.55900000001</v>
      </c>
      <c r="L10" s="44">
        <v>98048.20299999998</v>
      </c>
    </row>
    <row r="11" spans="1:12" ht="15.75">
      <c r="A11" s="870">
        <v>606710000</v>
      </c>
      <c r="B11" s="867" t="s">
        <v>2080</v>
      </c>
      <c r="C11" s="871">
        <v>153893.66800000001</v>
      </c>
      <c r="D11" s="700">
        <v>106468.821</v>
      </c>
      <c r="E11" s="696" t="s">
        <v>2091</v>
      </c>
      <c r="F11" s="700">
        <f t="shared" si="0"/>
        <v>47424.847000000009</v>
      </c>
      <c r="G11" s="509">
        <f t="shared" si="1"/>
        <v>0.44543413324732889</v>
      </c>
      <c r="H11" s="696" t="s">
        <v>2113</v>
      </c>
      <c r="I11" s="649" t="s">
        <v>2095</v>
      </c>
      <c r="J11" s="44">
        <v>239319.12100000004</v>
      </c>
      <c r="K11" s="44">
        <v>169768.481</v>
      </c>
      <c r="L11" s="44">
        <v>69550.640000000014</v>
      </c>
    </row>
    <row r="12" spans="1:12" ht="15.75">
      <c r="A12" s="870">
        <v>606720000</v>
      </c>
      <c r="B12" s="867" t="s">
        <v>2092</v>
      </c>
      <c r="C12" s="871">
        <v>2881</v>
      </c>
      <c r="D12" s="700">
        <f>IFERROR(VLOOKUP(A12,'[81]Balance globale aprés conso 21'!$B$1:$M$65536,12,0),0)</f>
        <v>0</v>
      </c>
      <c r="E12" s="696" t="s">
        <v>2091</v>
      </c>
      <c r="F12" s="700">
        <f t="shared" si="0"/>
        <v>2881</v>
      </c>
      <c r="G12" s="509" t="e">
        <f t="shared" si="1"/>
        <v>#DIV/0!</v>
      </c>
      <c r="I12" s="649" t="s">
        <v>2102</v>
      </c>
      <c r="J12" s="44">
        <v>125000</v>
      </c>
      <c r="K12" s="44">
        <v>0</v>
      </c>
      <c r="L12" s="44">
        <v>125000</v>
      </c>
    </row>
    <row r="13" spans="1:12" ht="15.75">
      <c r="A13" s="870">
        <v>614000000</v>
      </c>
      <c r="B13" s="867" t="s">
        <v>2047</v>
      </c>
      <c r="C13" s="871">
        <v>360720.70200000005</v>
      </c>
      <c r="D13" s="700">
        <f>IFERROR(VLOOKUP(A13,'[81]Balance globale aprés conso 21'!$B$1:$M$65536,12,0),0)</f>
        <v>430873.18799999997</v>
      </c>
      <c r="E13" s="696" t="s">
        <v>2093</v>
      </c>
      <c r="F13" s="700">
        <f t="shared" si="0"/>
        <v>-70152.485999999917</v>
      </c>
      <c r="G13" s="509">
        <f t="shared" si="1"/>
        <v>-0.16281469340347982</v>
      </c>
      <c r="I13" s="649" t="s">
        <v>2093</v>
      </c>
      <c r="J13" s="44">
        <v>360720.70200000005</v>
      </c>
      <c r="K13" s="44">
        <v>430873.18799999997</v>
      </c>
      <c r="L13" s="44">
        <v>-70152.485999999917</v>
      </c>
    </row>
    <row r="14" spans="1:12" ht="15.75">
      <c r="A14" s="870">
        <v>615000000</v>
      </c>
      <c r="B14" s="867" t="s">
        <v>2048</v>
      </c>
      <c r="C14" s="871">
        <v>424181.34</v>
      </c>
      <c r="D14" s="700">
        <f>IFERROR(VLOOKUP(A14,'[81]Balance globale aprés conso 21'!$B$1:$M$65536,12,0),0)</f>
        <v>353306.66199999995</v>
      </c>
      <c r="E14" s="696" t="s">
        <v>2088</v>
      </c>
      <c r="F14" s="700">
        <f t="shared" si="0"/>
        <v>70874.678000000073</v>
      </c>
      <c r="G14" s="509">
        <f t="shared" si="1"/>
        <v>0.20060385388374047</v>
      </c>
      <c r="I14" s="649" t="s">
        <v>2088</v>
      </c>
      <c r="J14" s="44">
        <v>1415175.2400000002</v>
      </c>
      <c r="K14" s="44">
        <v>976780.99577499996</v>
      </c>
      <c r="L14" s="44">
        <v>438394.24422500009</v>
      </c>
    </row>
    <row r="15" spans="1:12" ht="15.75">
      <c r="A15" s="870">
        <v>615010000</v>
      </c>
      <c r="B15" s="867" t="s">
        <v>2049</v>
      </c>
      <c r="C15" s="871">
        <v>299332.24199999997</v>
      </c>
      <c r="D15" s="700">
        <f>IFERROR(VLOOKUP(A15,'[81]Balance globale aprés conso 21'!$B$1:$M$65536,12,0),0)</f>
        <v>154418.80499999999</v>
      </c>
      <c r="E15" s="696" t="s">
        <v>2088</v>
      </c>
      <c r="F15" s="700">
        <f t="shared" si="0"/>
        <v>144913.43699999998</v>
      </c>
      <c r="G15" s="509">
        <f t="shared" si="1"/>
        <v>0.93844423287694778</v>
      </c>
      <c r="I15" s="649" t="s">
        <v>2097</v>
      </c>
      <c r="J15" s="44">
        <v>223674.31400000001</v>
      </c>
      <c r="K15" s="44">
        <v>115338.46000000002</v>
      </c>
      <c r="L15" s="44">
        <v>108335.85399999999</v>
      </c>
    </row>
    <row r="16" spans="1:12" ht="15.75">
      <c r="A16" s="870">
        <v>616000000</v>
      </c>
      <c r="B16" s="867" t="s">
        <v>2050</v>
      </c>
      <c r="C16" s="871">
        <v>271.52600000000001</v>
      </c>
      <c r="D16" s="700">
        <f>IFERROR(VLOOKUP(A16,'[81]Balance globale aprés conso 21'!$B$1:$M$65536,12,0),0)</f>
        <v>243.42599999999999</v>
      </c>
      <c r="E16" s="696" t="s">
        <v>2094</v>
      </c>
      <c r="F16" s="700">
        <f t="shared" si="0"/>
        <v>28.100000000000023</v>
      </c>
      <c r="G16" s="509">
        <f t="shared" si="1"/>
        <v>0.1154354916894663</v>
      </c>
      <c r="I16" s="649" t="s">
        <v>2099</v>
      </c>
      <c r="J16" s="44">
        <v>159918.27200000003</v>
      </c>
      <c r="K16" s="44">
        <v>114775.145</v>
      </c>
      <c r="L16" s="44">
        <v>45143.127000000015</v>
      </c>
    </row>
    <row r="17" spans="1:12" ht="15.75">
      <c r="A17" s="870">
        <v>616030000</v>
      </c>
      <c r="B17" s="867" t="s">
        <v>2051</v>
      </c>
      <c r="C17" s="871">
        <v>65935.790999999997</v>
      </c>
      <c r="D17" s="700">
        <f>IFERROR(VLOOKUP(A17,'[81]Balance globale aprés conso 21'!$B$1:$M$65536,12,0),0)</f>
        <v>62056.43</v>
      </c>
      <c r="E17" s="696" t="s">
        <v>2094</v>
      </c>
      <c r="F17" s="700">
        <f t="shared" si="0"/>
        <v>3879.3609999999971</v>
      </c>
      <c r="G17" s="509">
        <f t="shared" si="1"/>
        <v>6.2513441395194616E-2</v>
      </c>
      <c r="I17" s="649" t="s">
        <v>2091</v>
      </c>
      <c r="J17" s="44">
        <v>241268.228</v>
      </c>
      <c r="K17" s="44">
        <v>153192.62699999998</v>
      </c>
      <c r="L17" s="44">
        <v>88075.601000000024</v>
      </c>
    </row>
    <row r="18" spans="1:12" ht="15.75">
      <c r="A18" s="870">
        <v>616070000</v>
      </c>
      <c r="B18" s="867" t="s">
        <v>2052</v>
      </c>
      <c r="C18" s="871">
        <v>13809.8</v>
      </c>
      <c r="D18" s="700">
        <f>IFERROR(VLOOKUP(A18,'[81]Balance globale aprés conso 21'!$B$1:$M$65536,12,0),0)</f>
        <v>13809.8</v>
      </c>
      <c r="E18" s="696" t="s">
        <v>2094</v>
      </c>
      <c r="F18" s="700">
        <f t="shared" si="0"/>
        <v>0</v>
      </c>
      <c r="G18" s="509">
        <f t="shared" si="1"/>
        <v>0</v>
      </c>
      <c r="I18" s="649" t="s">
        <v>2094</v>
      </c>
      <c r="J18" s="44">
        <v>80017.116999999998</v>
      </c>
      <c r="K18" s="44">
        <v>88845.686000000002</v>
      </c>
      <c r="L18" s="44">
        <v>-8828.5690000000031</v>
      </c>
    </row>
    <row r="19" spans="1:12" ht="15.75">
      <c r="A19" s="870">
        <v>621200000</v>
      </c>
      <c r="B19" s="867" t="s">
        <v>2053</v>
      </c>
      <c r="C19" s="871">
        <v>68826.236000000004</v>
      </c>
      <c r="D19" s="700">
        <f>IFERROR(VLOOKUP(A19,'[81]Balance globale aprés conso 21'!$B$1:$M$65536,12,0),0)</f>
        <v>29656.483999999997</v>
      </c>
      <c r="E19" s="696" t="s">
        <v>2091</v>
      </c>
      <c r="F19" s="700">
        <f t="shared" si="0"/>
        <v>39169.752000000008</v>
      </c>
      <c r="G19" s="509">
        <f t="shared" si="1"/>
        <v>1.3207820589925634</v>
      </c>
      <c r="H19" s="696" t="s">
        <v>2114</v>
      </c>
      <c r="I19" s="649" t="s">
        <v>2101</v>
      </c>
      <c r="J19" s="44">
        <v>392757.90199999994</v>
      </c>
      <c r="K19" s="44">
        <v>253886.568</v>
      </c>
      <c r="L19" s="44">
        <v>138871.334</v>
      </c>
    </row>
    <row r="20" spans="1:12" ht="15.75">
      <c r="A20" s="870">
        <v>622000000</v>
      </c>
      <c r="B20" s="867" t="s">
        <v>2054</v>
      </c>
      <c r="C20" s="871">
        <v>38738.088000000003</v>
      </c>
      <c r="D20" s="700">
        <f>IFERROR(VLOOKUP(A20,'[81]Balance globale aprés conso 21'!$B$1:$M$65536,12,0),0)</f>
        <v>169768.481</v>
      </c>
      <c r="E20" s="696" t="s">
        <v>2095</v>
      </c>
      <c r="F20" s="700">
        <f t="shared" si="0"/>
        <v>-131030.393</v>
      </c>
      <c r="G20" s="509">
        <f t="shared" si="1"/>
        <v>-0.77181813860960446</v>
      </c>
      <c r="I20" s="649" t="s">
        <v>2098</v>
      </c>
      <c r="J20" s="44">
        <v>127074.76300000001</v>
      </c>
      <c r="K20" s="44">
        <v>111498.558</v>
      </c>
      <c r="L20" s="44">
        <v>15576.205000000002</v>
      </c>
    </row>
    <row r="21" spans="1:12" ht="15.75">
      <c r="A21" s="870">
        <v>622100000</v>
      </c>
      <c r="B21" s="867"/>
      <c r="C21" s="877">
        <v>31494.02</v>
      </c>
      <c r="D21" s="700">
        <f>IFERROR(VLOOKUP(A21,'[81]Balance globale aprés conso 21'!$B$1:$M$65536,12,0),0)</f>
        <v>0</v>
      </c>
      <c r="E21" s="696" t="s">
        <v>2095</v>
      </c>
      <c r="F21" s="700">
        <f t="shared" si="0"/>
        <v>31494.02</v>
      </c>
      <c r="G21" s="509" t="e">
        <f t="shared" si="1"/>
        <v>#DIV/0!</v>
      </c>
      <c r="I21" s="649" t="s">
        <v>1935</v>
      </c>
      <c r="J21" s="44">
        <v>4248881.1189999999</v>
      </c>
      <c r="K21" s="44">
        <v>3140870.8757750005</v>
      </c>
      <c r="L21" s="44">
        <v>1108010.2432250003</v>
      </c>
    </row>
    <row r="22" spans="1:12" ht="15.75">
      <c r="A22" s="870">
        <v>622200000</v>
      </c>
      <c r="B22" s="867"/>
      <c r="C22" s="877">
        <v>23006.054</v>
      </c>
      <c r="D22" s="700">
        <f>IFERROR(VLOOKUP(A22,'[81]Balance globale aprés conso 21'!$B$1:$M$65536,12,0),0)</f>
        <v>0</v>
      </c>
      <c r="E22" s="696" t="s">
        <v>2095</v>
      </c>
      <c r="F22" s="700">
        <f t="shared" si="0"/>
        <v>23006.054</v>
      </c>
      <c r="G22" s="509" t="e">
        <f t="shared" si="1"/>
        <v>#DIV/0!</v>
      </c>
      <c r="I22"/>
      <c r="J22"/>
      <c r="K22"/>
    </row>
    <row r="23" spans="1:12" ht="15.75">
      <c r="A23" s="870">
        <v>622400000</v>
      </c>
      <c r="B23" s="867"/>
      <c r="C23" s="871">
        <v>33390.29</v>
      </c>
      <c r="D23" s="700">
        <f>IFERROR(VLOOKUP(A23,'[81]Balance globale aprés conso 21'!$B$1:$M$65536,12,0),0)</f>
        <v>0</v>
      </c>
      <c r="E23" s="696" t="s">
        <v>2095</v>
      </c>
      <c r="F23" s="700">
        <f t="shared" si="0"/>
        <v>33390.29</v>
      </c>
      <c r="G23" s="509" t="e">
        <f t="shared" si="1"/>
        <v>#DIV/0!</v>
      </c>
      <c r="I23"/>
      <c r="J23"/>
      <c r="K23"/>
    </row>
    <row r="24" spans="1:12">
      <c r="A24" s="870">
        <v>622700000</v>
      </c>
      <c r="B24" s="867"/>
      <c r="C24" s="871">
        <v>10300.325000000001</v>
      </c>
      <c r="D24" s="700">
        <f>IFERROR(VLOOKUP(A24,'[81]Balance globale aprés conso 21'!$B$1:$M$65536,12,0),0)</f>
        <v>0</v>
      </c>
      <c r="E24" s="696" t="s">
        <v>2095</v>
      </c>
      <c r="F24" s="700">
        <f t="shared" si="0"/>
        <v>10300.325000000001</v>
      </c>
      <c r="G24" s="509" t="e">
        <f t="shared" si="1"/>
        <v>#DIV/0!</v>
      </c>
    </row>
    <row r="25" spans="1:12">
      <c r="A25" s="870">
        <v>622800000</v>
      </c>
      <c r="B25" s="867"/>
      <c r="C25" s="871">
        <v>13870</v>
      </c>
      <c r="D25" s="700">
        <f>IFERROR(VLOOKUP(A25,'[81]Balance globale aprés conso 21'!$B$1:$M$65536,12,0),0)</f>
        <v>0</v>
      </c>
      <c r="E25" s="696" t="s">
        <v>2095</v>
      </c>
      <c r="F25" s="878">
        <f t="shared" si="0"/>
        <v>13870</v>
      </c>
      <c r="G25" s="509" t="e">
        <f t="shared" si="1"/>
        <v>#DIV/0!</v>
      </c>
      <c r="H25" s="696" t="s">
        <v>2117</v>
      </c>
    </row>
    <row r="26" spans="1:12">
      <c r="A26" s="870">
        <v>623000000</v>
      </c>
      <c r="B26" s="867" t="s">
        <v>2055</v>
      </c>
      <c r="C26" s="871">
        <v>223674.31400000001</v>
      </c>
      <c r="D26" s="700">
        <f>IFERROR(VLOOKUP(A26,'[81]Balance globale aprés conso 21'!$B$1:$M$65536,12,0),0)</f>
        <v>115338.46000000002</v>
      </c>
      <c r="E26" s="696" t="s">
        <v>2097</v>
      </c>
      <c r="F26" s="700">
        <f t="shared" si="0"/>
        <v>108335.85399999999</v>
      </c>
      <c r="G26" s="509">
        <f t="shared" si="1"/>
        <v>0.93928646177519604</v>
      </c>
      <c r="H26" s="696" t="s">
        <v>2115</v>
      </c>
    </row>
    <row r="27" spans="1:12">
      <c r="A27" s="870">
        <v>623010000</v>
      </c>
      <c r="B27" s="867" t="s">
        <v>2056</v>
      </c>
      <c r="C27" s="871">
        <v>60183.020000000004</v>
      </c>
      <c r="D27" s="700">
        <f>IFERROR(VLOOKUP(A27,'[81]Balance globale aprés conso 21'!$B$1:$M$65536,12,0),0)</f>
        <v>56879.8</v>
      </c>
      <c r="E27" s="696" t="s">
        <v>2096</v>
      </c>
      <c r="F27" s="700">
        <f t="shared" si="0"/>
        <v>3303.2200000000012</v>
      </c>
      <c r="G27" s="509">
        <f t="shared" si="1"/>
        <v>5.8073692242237157E-2</v>
      </c>
    </row>
    <row r="28" spans="1:12">
      <c r="A28" s="870">
        <v>622300000</v>
      </c>
      <c r="B28" s="867" t="s">
        <v>2081</v>
      </c>
      <c r="C28" s="877">
        <v>17667.282999999999</v>
      </c>
      <c r="D28" s="700">
        <f>IFERROR(VLOOKUP(A28,'[81]Balance globale aprés conso 21'!$B$1:$M$65536,12,0),0)</f>
        <v>0</v>
      </c>
      <c r="E28" s="696" t="s">
        <v>2095</v>
      </c>
      <c r="F28" s="700">
        <f t="shared" si="0"/>
        <v>17667.282999999999</v>
      </c>
      <c r="G28" s="509" t="e">
        <f t="shared" si="1"/>
        <v>#DIV/0!</v>
      </c>
      <c r="H28" s="696" t="s">
        <v>2118</v>
      </c>
    </row>
    <row r="29" spans="1:12">
      <c r="A29" s="870">
        <v>622500000</v>
      </c>
      <c r="B29" s="867" t="s">
        <v>2082</v>
      </c>
      <c r="C29" s="871">
        <v>51345.061000000002</v>
      </c>
      <c r="D29" s="700">
        <f>IFERROR(VLOOKUP(A29,'[81]Balance globale aprés conso 21'!$B$1:$M$65536,12,0),0)</f>
        <v>0</v>
      </c>
      <c r="E29" s="696" t="s">
        <v>2095</v>
      </c>
      <c r="F29" s="700">
        <f t="shared" si="0"/>
        <v>51345.061000000002</v>
      </c>
      <c r="G29" s="509" t="e">
        <f t="shared" si="1"/>
        <v>#DIV/0!</v>
      </c>
    </row>
    <row r="30" spans="1:12">
      <c r="A30" s="870">
        <v>622600000</v>
      </c>
      <c r="B30" s="696" t="s">
        <v>2083</v>
      </c>
      <c r="C30" s="872">
        <v>19508</v>
      </c>
      <c r="D30" s="700">
        <f>IFERROR(VLOOKUP(A30,'[81]Balance globale aprés conso 21'!$B$1:$M$65536,12,0),0)</f>
        <v>0</v>
      </c>
      <c r="E30" s="696" t="s">
        <v>2095</v>
      </c>
      <c r="F30" s="700">
        <f t="shared" si="0"/>
        <v>19508</v>
      </c>
      <c r="G30" s="509" t="e">
        <f t="shared" si="1"/>
        <v>#DIV/0!</v>
      </c>
    </row>
    <row r="31" spans="1:12">
      <c r="A31" s="870">
        <v>624100000</v>
      </c>
      <c r="B31" s="696" t="s">
        <v>2057</v>
      </c>
      <c r="C31" s="872">
        <v>23784</v>
      </c>
      <c r="D31" s="700">
        <f>IFERROR(VLOOKUP(A31,'[81]Balance globale aprés conso 21'!$B$1:$M$65536,12,0),0)</f>
        <v>30107.692999999999</v>
      </c>
      <c r="E31" s="696" t="s">
        <v>2096</v>
      </c>
      <c r="F31" s="700">
        <f t="shared" si="0"/>
        <v>-6323.6929999999993</v>
      </c>
      <c r="G31" s="509">
        <f t="shared" si="1"/>
        <v>-0.21003578719897267</v>
      </c>
    </row>
    <row r="32" spans="1:12">
      <c r="A32" s="870">
        <v>624200000</v>
      </c>
      <c r="B32" s="696" t="s">
        <v>2058</v>
      </c>
      <c r="C32" s="872">
        <v>3400</v>
      </c>
      <c r="D32" s="700">
        <f>IFERROR(VLOOKUP(A32,'[81]Balance globale aprés conso 21'!$B$1:$M$65536,12,0),0)</f>
        <v>3950</v>
      </c>
      <c r="E32" s="696" t="s">
        <v>2098</v>
      </c>
      <c r="F32" s="700">
        <f t="shared" si="0"/>
        <v>-550</v>
      </c>
      <c r="G32" s="509">
        <f t="shared" si="1"/>
        <v>-0.13924050632911392</v>
      </c>
    </row>
    <row r="33" spans="1:8">
      <c r="A33" s="870">
        <v>624300000</v>
      </c>
      <c r="B33" s="696" t="s">
        <v>2084</v>
      </c>
      <c r="C33" s="872">
        <v>123674.76300000001</v>
      </c>
      <c r="D33" s="700">
        <v>107548.558</v>
      </c>
      <c r="E33" s="696" t="s">
        <v>2098</v>
      </c>
      <c r="F33" s="700">
        <f t="shared" si="0"/>
        <v>16126.205000000002</v>
      </c>
      <c r="G33" s="509">
        <f t="shared" si="1"/>
        <v>0.14994347948393694</v>
      </c>
    </row>
    <row r="34" spans="1:8">
      <c r="A34" s="870">
        <v>625000000</v>
      </c>
      <c r="B34" s="696" t="s">
        <v>2059</v>
      </c>
      <c r="C34" s="872">
        <v>14733.566000000001</v>
      </c>
      <c r="D34" s="700">
        <f>IFERROR(VLOOKUP(A34,'[81]Balance globale aprés conso 21'!$B$1:$M$65536,12,0),0)</f>
        <v>8326.0249999999996</v>
      </c>
      <c r="E34" s="696" t="s">
        <v>2099</v>
      </c>
      <c r="F34" s="700">
        <f t="shared" si="0"/>
        <v>6407.5410000000011</v>
      </c>
      <c r="G34" s="509">
        <f t="shared" si="1"/>
        <v>0.76957984152101411</v>
      </c>
    </row>
    <row r="35" spans="1:8">
      <c r="A35" s="870">
        <v>625100000</v>
      </c>
      <c r="B35" s="696" t="s">
        <v>2060</v>
      </c>
      <c r="C35" s="872">
        <v>31122.916000000001</v>
      </c>
      <c r="D35" s="700">
        <f>IFERROR(VLOOKUP(A35,'[81]Balance globale aprés conso 21'!$B$1:$M$65536,12,0),0)</f>
        <v>36034.300000000003</v>
      </c>
      <c r="E35" s="696" t="s">
        <v>2099</v>
      </c>
      <c r="F35" s="700">
        <f t="shared" si="0"/>
        <v>-4911.3840000000018</v>
      </c>
      <c r="G35" s="509">
        <f t="shared" si="1"/>
        <v>-0.13629747213071994</v>
      </c>
    </row>
    <row r="36" spans="1:8">
      <c r="A36" s="870">
        <v>625200000</v>
      </c>
      <c r="C36" s="872">
        <v>25532.463</v>
      </c>
      <c r="D36" s="700">
        <f>IFERROR(VLOOKUP(A36,'[81]Balance globale aprés conso 21'!$B$1:$M$65536,12,0),0)</f>
        <v>0</v>
      </c>
      <c r="E36" s="696" t="s">
        <v>2099</v>
      </c>
      <c r="F36" s="700">
        <f t="shared" si="0"/>
        <v>25532.463</v>
      </c>
      <c r="G36" s="509" t="e">
        <f t="shared" si="1"/>
        <v>#DIV/0!</v>
      </c>
    </row>
    <row r="37" spans="1:8">
      <c r="A37" s="870">
        <v>625700000</v>
      </c>
      <c r="B37" s="696" t="s">
        <v>2061</v>
      </c>
      <c r="C37" s="872">
        <v>35455.123000000007</v>
      </c>
      <c r="D37" s="700">
        <f>IFERROR(VLOOKUP(A37,'[81]Balance globale aprés conso 21'!$B$1:$M$65536,12,0),0)</f>
        <v>48767.466999999997</v>
      </c>
      <c r="E37" s="696" t="s">
        <v>2099</v>
      </c>
      <c r="F37" s="700">
        <f t="shared" si="0"/>
        <v>-13312.34399999999</v>
      </c>
      <c r="G37" s="509">
        <f t="shared" si="1"/>
        <v>-0.27297591650597702</v>
      </c>
    </row>
    <row r="38" spans="1:8">
      <c r="A38" s="870">
        <v>625710000</v>
      </c>
      <c r="C38" s="872">
        <v>20171.505000000001</v>
      </c>
      <c r="D38" s="700">
        <f>IFERROR(VLOOKUP(A38,'[81]Balance globale aprés conso 21'!$B$1:$M$65536,12,0),0)</f>
        <v>0</v>
      </c>
      <c r="E38" s="696" t="s">
        <v>2099</v>
      </c>
      <c r="F38" s="700">
        <f t="shared" si="0"/>
        <v>20171.505000000001</v>
      </c>
      <c r="G38" s="509" t="e">
        <f t="shared" si="1"/>
        <v>#DIV/0!</v>
      </c>
    </row>
    <row r="39" spans="1:8">
      <c r="A39" s="870">
        <v>625720000</v>
      </c>
      <c r="C39" s="872">
        <v>16779.900000000001</v>
      </c>
      <c r="D39" s="700">
        <f>IFERROR(VLOOKUP(A39,'[81]Balance globale aprés conso 21'!$B$1:$M$65536,12,0),0)</f>
        <v>0</v>
      </c>
      <c r="E39" s="696" t="s">
        <v>2099</v>
      </c>
      <c r="F39" s="700">
        <f t="shared" si="0"/>
        <v>16779.900000000001</v>
      </c>
      <c r="G39" s="509" t="e">
        <f t="shared" si="1"/>
        <v>#DIV/0!</v>
      </c>
    </row>
    <row r="40" spans="1:8">
      <c r="A40" s="870">
        <v>625730000</v>
      </c>
      <c r="C40" s="872">
        <v>5874.4</v>
      </c>
      <c r="D40" s="700">
        <f>IFERROR(VLOOKUP(A40,'[81]Balance globale aprés conso 21'!$B$1:$M$65536,12,0),0)</f>
        <v>0</v>
      </c>
      <c r="E40" s="696" t="s">
        <v>2099</v>
      </c>
      <c r="F40" s="700">
        <f t="shared" si="0"/>
        <v>5874.4</v>
      </c>
      <c r="G40" s="509" t="e">
        <f t="shared" si="1"/>
        <v>#DIV/0!</v>
      </c>
    </row>
    <row r="41" spans="1:8">
      <c r="A41" s="870">
        <v>625800000</v>
      </c>
      <c r="B41" s="696" t="s">
        <v>2062</v>
      </c>
      <c r="C41" s="872">
        <v>10248.399000000001</v>
      </c>
      <c r="D41" s="700">
        <f>IFERROR(VLOOKUP(A41,'[81]Balance globale aprés conso 21'!$B$1:$M$65536,12,0),0)</f>
        <v>21647.352999999999</v>
      </c>
      <c r="E41" s="696" t="s">
        <v>2099</v>
      </c>
      <c r="F41" s="700">
        <f t="shared" si="0"/>
        <v>-11398.953999999998</v>
      </c>
      <c r="G41" s="509">
        <f t="shared" si="1"/>
        <v>-0.52657495814846267</v>
      </c>
    </row>
    <row r="42" spans="1:8">
      <c r="A42" s="870">
        <v>626000000</v>
      </c>
      <c r="B42" s="696" t="s">
        <v>2063</v>
      </c>
      <c r="C42" s="872">
        <v>53056.451000000001</v>
      </c>
      <c r="D42" s="700">
        <f>IFERROR(VLOOKUP(A42,'[81]Balance globale aprés conso 21'!$B$1:$M$65536,12,0),0)</f>
        <v>50179.668000000005</v>
      </c>
      <c r="E42" s="696" t="s">
        <v>2096</v>
      </c>
      <c r="F42" s="700">
        <f t="shared" si="0"/>
        <v>2876.7829999999958</v>
      </c>
      <c r="G42" s="509">
        <f t="shared" si="1"/>
        <v>5.7329653914808591E-2</v>
      </c>
    </row>
    <row r="43" spans="1:8">
      <c r="A43" s="870">
        <v>627800000</v>
      </c>
      <c r="B43" s="696" t="s">
        <v>2064</v>
      </c>
      <c r="C43" s="872">
        <v>245618.05500000002</v>
      </c>
      <c r="D43" s="700">
        <f>IFERROR(VLOOKUP(A43,'[81]Balance globale aprés conso 21'!$B$1:$M$65536,12,0),0)</f>
        <v>205418.45699999999</v>
      </c>
      <c r="E43" s="696" t="s">
        <v>2100</v>
      </c>
      <c r="F43" s="700">
        <f t="shared" si="0"/>
        <v>40199.598000000027</v>
      </c>
      <c r="G43" s="509">
        <f t="shared" si="1"/>
        <v>0.19569613454938972</v>
      </c>
    </row>
    <row r="44" spans="1:8">
      <c r="A44" s="870">
        <v>633000000</v>
      </c>
      <c r="B44" s="696" t="s">
        <v>2065</v>
      </c>
      <c r="C44" s="872">
        <v>125000</v>
      </c>
      <c r="D44" s="700">
        <f>IFERROR(VLOOKUP(A44,'[81]Balance globale aprés conso 21'!$B$1:$M$65536,12,0),0)</f>
        <v>0</v>
      </c>
      <c r="E44" s="696" t="s">
        <v>2102</v>
      </c>
      <c r="F44" s="700">
        <f t="shared" si="0"/>
        <v>125000</v>
      </c>
      <c r="G44" s="509" t="e">
        <f t="shared" si="1"/>
        <v>#DIV/0!</v>
      </c>
    </row>
    <row r="45" spans="1:8">
      <c r="A45" s="870">
        <v>661100000</v>
      </c>
      <c r="B45" s="696" t="s">
        <v>2066</v>
      </c>
      <c r="C45" s="872">
        <v>21276.623</v>
      </c>
      <c r="D45" s="700">
        <f>IFERROR(VLOOKUP(A45,'[81]Balance globale aprés conso 21'!$B$1:$M$65536,12,0),0)</f>
        <v>13719.277</v>
      </c>
      <c r="E45" s="696" t="s">
        <v>2101</v>
      </c>
      <c r="F45" s="700">
        <f t="shared" si="0"/>
        <v>7557.3459999999995</v>
      </c>
      <c r="G45" s="509">
        <f t="shared" si="1"/>
        <v>0.55085599627443926</v>
      </c>
      <c r="H45" s="696" t="s">
        <v>2112</v>
      </c>
    </row>
    <row r="46" spans="1:8">
      <c r="A46" s="870">
        <v>661200000</v>
      </c>
      <c r="B46" s="696" t="s">
        <v>2067</v>
      </c>
      <c r="C46" s="872">
        <v>10638.338000000002</v>
      </c>
      <c r="D46" s="700">
        <f>IFERROR(VLOOKUP(A46,'[81]Balance globale aprés conso 21'!$B$1:$M$65536,12,0),0)</f>
        <v>6859.6360000000004</v>
      </c>
      <c r="E46" s="696" t="s">
        <v>2101</v>
      </c>
      <c r="F46" s="700">
        <f t="shared" si="0"/>
        <v>3778.7020000000011</v>
      </c>
      <c r="G46" s="509">
        <f t="shared" si="1"/>
        <v>0.5508604246639327</v>
      </c>
      <c r="H46" s="696" t="s">
        <v>2112</v>
      </c>
    </row>
    <row r="47" spans="1:8">
      <c r="A47" s="870">
        <v>665000000</v>
      </c>
      <c r="B47" s="696" t="s">
        <v>2068</v>
      </c>
      <c r="C47" s="872">
        <v>67476.077999999994</v>
      </c>
      <c r="D47" s="700">
        <f>IFERROR(VLOOKUP(A47,'[81]Balance globale aprés conso 21'!$B$1:$M$65536,12,0),0)</f>
        <v>30794.17</v>
      </c>
      <c r="E47" s="696" t="s">
        <v>2101</v>
      </c>
      <c r="F47" s="700">
        <f t="shared" si="0"/>
        <v>36681.907999999996</v>
      </c>
      <c r="G47" s="509">
        <f t="shared" si="1"/>
        <v>1.1911965154443194</v>
      </c>
      <c r="H47" s="696" t="s">
        <v>2111</v>
      </c>
    </row>
    <row r="48" spans="1:8">
      <c r="A48" s="870">
        <v>665200000</v>
      </c>
      <c r="B48" s="696" t="s">
        <v>2069</v>
      </c>
      <c r="C48" s="872">
        <v>183526.44499999998</v>
      </c>
      <c r="D48" s="700">
        <f>IFERROR(VLOOKUP(A48,'[81]Balance globale aprés conso 21'!$B$1:$M$65536,12,0),0)</f>
        <v>159813.20499999999</v>
      </c>
      <c r="E48" s="696" t="s">
        <v>2101</v>
      </c>
      <c r="F48" s="700">
        <f t="shared" si="0"/>
        <v>23713.239999999991</v>
      </c>
      <c r="G48" s="876">
        <f t="shared" si="1"/>
        <v>0.14838098015742812</v>
      </c>
      <c r="H48" s="696" t="s">
        <v>2110</v>
      </c>
    </row>
    <row r="49" spans="1:8">
      <c r="A49" s="870">
        <v>665400000</v>
      </c>
      <c r="B49" s="696" t="s">
        <v>2070</v>
      </c>
      <c r="C49" s="872">
        <v>90140.007000000012</v>
      </c>
      <c r="D49" s="700">
        <f>IFERROR(VLOOKUP(A49,'[81]Balance globale aprés conso 21'!$B$1:$M$65536,12,0),0)</f>
        <v>22601.628000000001</v>
      </c>
      <c r="E49" s="696" t="s">
        <v>2101</v>
      </c>
      <c r="F49" s="700">
        <f t="shared" si="0"/>
        <v>67538.379000000015</v>
      </c>
      <c r="G49" s="509">
        <f t="shared" si="1"/>
        <v>2.9882085927615485</v>
      </c>
      <c r="H49" s="696" t="s">
        <v>2109</v>
      </c>
    </row>
    <row r="50" spans="1:8">
      <c r="A50" s="870">
        <v>665500000</v>
      </c>
      <c r="B50" s="696" t="s">
        <v>2071</v>
      </c>
      <c r="C50" s="872">
        <v>19642.161</v>
      </c>
      <c r="D50" s="700">
        <f>IFERROR(VLOOKUP(A50,'[81]Balance globale aprés conso 21'!$B$1:$M$65536,12,0),0)</f>
        <v>18377.151999999998</v>
      </c>
      <c r="E50" s="696" t="s">
        <v>2101</v>
      </c>
      <c r="F50" s="700">
        <f t="shared" si="0"/>
        <v>1265.0090000000018</v>
      </c>
      <c r="G50" s="509">
        <f t="shared" si="1"/>
        <v>6.8835965442305858E-2</v>
      </c>
    </row>
    <row r="51" spans="1:8">
      <c r="A51" s="870">
        <v>665800000</v>
      </c>
      <c r="B51" s="696" t="s">
        <v>2072</v>
      </c>
      <c r="C51" s="872">
        <v>58.25</v>
      </c>
      <c r="D51" s="700">
        <f>IFERROR(VLOOKUP(A51,'[81]Balance globale aprés conso 21'!$B$1:$M$65536,12,0),0)</f>
        <v>1721.5</v>
      </c>
      <c r="E51" s="696" t="s">
        <v>2101</v>
      </c>
      <c r="F51" s="700">
        <f t="shared" si="0"/>
        <v>-1663.25</v>
      </c>
      <c r="G51" s="509">
        <f t="shared" si="1"/>
        <v>-0.96616322974150448</v>
      </c>
    </row>
    <row r="52" spans="1:8">
      <c r="A52" s="869">
        <v>617000000</v>
      </c>
      <c r="B52" s="806" t="s">
        <v>2085</v>
      </c>
      <c r="C52" s="696">
        <v>0</v>
      </c>
      <c r="D52" s="700">
        <f>IFERROR(VLOOKUP(A52,'[81]Balance globale aprés conso 21'!$B$1:$M$65536,12,0),0)</f>
        <v>345.98500000000001</v>
      </c>
      <c r="E52" s="696" t="s">
        <v>2094</v>
      </c>
      <c r="F52" s="700">
        <f t="shared" si="0"/>
        <v>-345.98500000000001</v>
      </c>
      <c r="G52" s="509">
        <f t="shared" si="1"/>
        <v>-1</v>
      </c>
    </row>
    <row r="53" spans="1:8">
      <c r="A53" s="869">
        <v>620000000</v>
      </c>
      <c r="B53" s="806" t="s">
        <v>2086</v>
      </c>
      <c r="C53" s="696">
        <v>0</v>
      </c>
      <c r="D53" s="700">
        <f>IFERROR(VLOOKUP(A53,'[81]Balance globale aprés conso 21'!$B$1:$M$65536,12,0),0)</f>
        <v>10097.164000000001</v>
      </c>
      <c r="E53" s="696" t="s">
        <v>2094</v>
      </c>
      <c r="F53" s="700">
        <f t="shared" si="0"/>
        <v>-10097.164000000001</v>
      </c>
      <c r="G53" s="509">
        <f t="shared" si="1"/>
        <v>-1</v>
      </c>
    </row>
    <row r="54" spans="1:8">
      <c r="A54" s="869">
        <v>621000000</v>
      </c>
      <c r="B54" s="806" t="s">
        <v>2087</v>
      </c>
      <c r="C54" s="696">
        <v>0</v>
      </c>
      <c r="D54" s="700">
        <f>IFERROR(VLOOKUP(A54,'[81]Balance globale aprés conso 21'!$B$1:$M$65536,12,0),0)</f>
        <v>2292.8809999999999</v>
      </c>
      <c r="E54" s="696" t="s">
        <v>2094</v>
      </c>
      <c r="F54" s="700">
        <f t="shared" si="0"/>
        <v>-2292.8809999999999</v>
      </c>
      <c r="G54" s="509">
        <f t="shared" si="1"/>
        <v>-1</v>
      </c>
    </row>
    <row r="56" spans="1:8">
      <c r="C56" s="700">
        <f>SUM(C5:C55)</f>
        <v>4248881.1190000018</v>
      </c>
      <c r="D56" s="700">
        <f>SUM(D5:D55)</f>
        <v>3140870.8757749991</v>
      </c>
      <c r="E56" s="700">
        <f>+C56-D56</f>
        <v>1108010.2432250027</v>
      </c>
      <c r="F56" s="509">
        <f>+E56/D56</f>
        <v>0.35277166335327459</v>
      </c>
    </row>
    <row r="58" spans="1:8">
      <c r="C58" s="700"/>
      <c r="D58" s="700">
        <v>2926853</v>
      </c>
    </row>
    <row r="59" spans="1:8">
      <c r="D59" s="700">
        <f>+D58-D56</f>
        <v>-214017.87577499915</v>
      </c>
    </row>
    <row r="60" spans="1:8">
      <c r="H60" s="696">
        <v>1705</v>
      </c>
    </row>
    <row r="61" spans="1:8">
      <c r="H61" s="696">
        <v>1985</v>
      </c>
    </row>
    <row r="62" spans="1:8">
      <c r="H62" s="696">
        <f>+H61-H60</f>
        <v>280</v>
      </c>
    </row>
    <row r="63" spans="1:8">
      <c r="H63" s="696">
        <f>+H62/H60</f>
        <v>0.16422287390029325</v>
      </c>
    </row>
    <row r="65" spans="1:7">
      <c r="E65" s="696">
        <f>+'YTD Q1''23 Cons. vs Q1''22'!I3</f>
        <v>3.2610999999999999</v>
      </c>
    </row>
    <row r="66" spans="1:7" s="875" customFormat="1" ht="15.75">
      <c r="A66" s="873" t="s">
        <v>1925</v>
      </c>
      <c r="B66" s="874">
        <v>44926</v>
      </c>
      <c r="C66" s="874">
        <v>44561</v>
      </c>
      <c r="D66" s="873" t="s">
        <v>2104</v>
      </c>
      <c r="E66" s="875" t="s">
        <v>2119</v>
      </c>
    </row>
    <row r="67" spans="1:7" ht="15.75">
      <c r="A67" s="649" t="s">
        <v>2088</v>
      </c>
      <c r="B67" s="44">
        <v>1415175.2400000002</v>
      </c>
      <c r="C67" s="44">
        <f>976780.995775+'[81]Balance globale aprés conso 21'!$M$345</f>
        <v>1103563.704775</v>
      </c>
      <c r="D67" s="44">
        <f t="shared" ref="D67:D80" si="2">+B67-C67</f>
        <v>311611.53522500023</v>
      </c>
      <c r="E67" s="863">
        <f t="shared" ref="E67:E80" si="3">+D67/$E$65</f>
        <v>95554.118311306069</v>
      </c>
      <c r="F67" s="879">
        <f t="shared" ref="F67:F80" si="4">+D67/$D$82</f>
        <v>0.31757316662655549</v>
      </c>
      <c r="G67" s="509">
        <f t="shared" ref="G67:G80" si="5">+D67/C67</f>
        <v>0.28236841595704087</v>
      </c>
    </row>
    <row r="68" spans="1:7" ht="15.75">
      <c r="A68" s="649" t="s">
        <v>2101</v>
      </c>
      <c r="B68" s="44">
        <v>392757.90199999994</v>
      </c>
      <c r="C68" s="44">
        <v>253886.568</v>
      </c>
      <c r="D68" s="44">
        <f t="shared" si="2"/>
        <v>138871.33399999994</v>
      </c>
      <c r="E68" s="863">
        <f t="shared" si="3"/>
        <v>42584.199809880083</v>
      </c>
      <c r="F68" s="879">
        <f t="shared" si="4"/>
        <v>0.14152816666491549</v>
      </c>
      <c r="G68" s="509">
        <f t="shared" si="5"/>
        <v>0.54698180803326291</v>
      </c>
    </row>
    <row r="69" spans="1:7" ht="15.75">
      <c r="A69" s="649" t="s">
        <v>2102</v>
      </c>
      <c r="B69" s="44">
        <v>125000</v>
      </c>
      <c r="C69" s="44">
        <v>0</v>
      </c>
      <c r="D69" s="44">
        <f t="shared" si="2"/>
        <v>125000</v>
      </c>
      <c r="E69" s="863">
        <f t="shared" si="3"/>
        <v>38330.624635859065</v>
      </c>
      <c r="F69" s="879">
        <f t="shared" si="4"/>
        <v>0.12739145166643567</v>
      </c>
      <c r="G69" s="509" t="e">
        <f t="shared" si="5"/>
        <v>#DIV/0!</v>
      </c>
    </row>
    <row r="70" spans="1:7" ht="15.75">
      <c r="A70" s="649" t="s">
        <v>2097</v>
      </c>
      <c r="B70" s="44">
        <v>223674.31400000001</v>
      </c>
      <c r="C70" s="44">
        <v>115338.46000000002</v>
      </c>
      <c r="D70" s="44">
        <f t="shared" si="2"/>
        <v>108335.85399999999</v>
      </c>
      <c r="E70" s="863">
        <f t="shared" si="3"/>
        <v>33220.647634233843</v>
      </c>
      <c r="F70" s="879">
        <f t="shared" si="4"/>
        <v>0.11040849366866425</v>
      </c>
      <c r="G70" s="509">
        <f t="shared" si="5"/>
        <v>0.93928646177519604</v>
      </c>
    </row>
    <row r="71" spans="1:7" ht="15.75">
      <c r="A71" s="649" t="s">
        <v>2089</v>
      </c>
      <c r="B71" s="44">
        <v>436049.76199999999</v>
      </c>
      <c r="C71" s="44">
        <v>338001.55900000001</v>
      </c>
      <c r="D71" s="44">
        <f t="shared" si="2"/>
        <v>98048.20299999998</v>
      </c>
      <c r="E71" s="863">
        <f t="shared" si="3"/>
        <v>30065.99092330808</v>
      </c>
      <c r="F71" s="879">
        <f t="shared" si="4"/>
        <v>9.9924023307642967E-2</v>
      </c>
      <c r="G71" s="509">
        <f t="shared" si="5"/>
        <v>0.29008210284615871</v>
      </c>
    </row>
    <row r="72" spans="1:7" ht="15.75">
      <c r="A72" s="649" t="s">
        <v>2091</v>
      </c>
      <c r="B72" s="44">
        <v>241268.228</v>
      </c>
      <c r="C72" s="44">
        <v>153192.62699999998</v>
      </c>
      <c r="D72" s="44">
        <f t="shared" si="2"/>
        <v>88075.601000000024</v>
      </c>
      <c r="E72" s="863">
        <f t="shared" si="3"/>
        <v>27007.942412069555</v>
      </c>
      <c r="F72" s="879">
        <f t="shared" si="4"/>
        <v>8.9760629342270221E-2</v>
      </c>
      <c r="G72" s="509">
        <f t="shared" si="5"/>
        <v>0.57493368137097123</v>
      </c>
    </row>
    <row r="73" spans="1:7" ht="15.75">
      <c r="A73" s="649" t="s">
        <v>2095</v>
      </c>
      <c r="B73" s="44">
        <v>239319.12100000004</v>
      </c>
      <c r="C73" s="44">
        <v>169768.481</v>
      </c>
      <c r="D73" s="44">
        <f t="shared" si="2"/>
        <v>69550.640000000043</v>
      </c>
      <c r="E73" s="863">
        <f t="shared" si="3"/>
        <v>21327.355800190133</v>
      </c>
      <c r="F73" s="879">
        <f t="shared" si="4"/>
        <v>7.0881255951437391E-2</v>
      </c>
      <c r="G73" s="509">
        <f t="shared" si="5"/>
        <v>0.40967934442436371</v>
      </c>
    </row>
    <row r="74" spans="1:7" ht="15.75">
      <c r="A74" s="649" t="s">
        <v>2099</v>
      </c>
      <c r="B74" s="44">
        <v>159918.27200000003</v>
      </c>
      <c r="C74" s="44">
        <v>114775.145</v>
      </c>
      <c r="D74" s="44">
        <f t="shared" si="2"/>
        <v>45143.127000000022</v>
      </c>
      <c r="E74" s="863">
        <f t="shared" si="3"/>
        <v>13842.914047407325</v>
      </c>
      <c r="F74" s="509">
        <f t="shared" si="4"/>
        <v>4.6006787850338161E-2</v>
      </c>
      <c r="G74" s="509">
        <f t="shared" si="5"/>
        <v>0.39331796967017574</v>
      </c>
    </row>
    <row r="75" spans="1:7" ht="15.75">
      <c r="A75" s="649" t="s">
        <v>2100</v>
      </c>
      <c r="B75" s="44">
        <v>245618.05500000002</v>
      </c>
      <c r="C75" s="44">
        <v>205418.45699999999</v>
      </c>
      <c r="D75" s="44">
        <f t="shared" si="2"/>
        <v>40199.598000000027</v>
      </c>
      <c r="E75" s="863">
        <f t="shared" si="3"/>
        <v>12327.005611603456</v>
      </c>
      <c r="F75" s="509">
        <f t="shared" si="4"/>
        <v>4.096868116501718E-2</v>
      </c>
      <c r="G75" s="509">
        <f t="shared" si="5"/>
        <v>0.19569613454938972</v>
      </c>
    </row>
    <row r="76" spans="1:7" ht="15.75">
      <c r="A76" s="649" t="s">
        <v>2090</v>
      </c>
      <c r="B76" s="44">
        <v>65264.171999999999</v>
      </c>
      <c r="C76" s="44">
        <v>45323.989999999991</v>
      </c>
      <c r="D76" s="44">
        <f t="shared" si="2"/>
        <v>19940.182000000008</v>
      </c>
      <c r="E76" s="863">
        <f t="shared" si="3"/>
        <v>6114.557051301711</v>
      </c>
      <c r="F76" s="509">
        <f t="shared" si="4"/>
        <v>2.0321669851783453E-2</v>
      </c>
      <c r="G76" s="509">
        <f t="shared" si="5"/>
        <v>0.43994763038293877</v>
      </c>
    </row>
    <row r="77" spans="1:7" ht="15.75">
      <c r="A77" s="649" t="s">
        <v>2098</v>
      </c>
      <c r="B77" s="44">
        <v>127074.76300000001</v>
      </c>
      <c r="C77" s="44">
        <v>111498.558</v>
      </c>
      <c r="D77" s="44">
        <f t="shared" si="2"/>
        <v>15576.205000000002</v>
      </c>
      <c r="E77" s="863">
        <f t="shared" si="3"/>
        <v>4776.3653368495297</v>
      </c>
      <c r="F77" s="879">
        <f t="shared" si="4"/>
        <v>1.5874202931231953E-2</v>
      </c>
      <c r="G77" s="509">
        <f t="shared" si="5"/>
        <v>0.13969871251608476</v>
      </c>
    </row>
    <row r="78" spans="1:7" ht="15.75">
      <c r="A78" s="649" t="s">
        <v>2096</v>
      </c>
      <c r="B78" s="44">
        <v>137023.47100000002</v>
      </c>
      <c r="C78" s="44">
        <v>137167.16100000002</v>
      </c>
      <c r="D78" s="44">
        <f t="shared" si="2"/>
        <v>-143.69000000000233</v>
      </c>
      <c r="E78" s="863">
        <f t="shared" si="3"/>
        <v>-44.061819631413428</v>
      </c>
      <c r="F78" s="509">
        <f t="shared" si="4"/>
        <v>-1.4643902151960351E-4</v>
      </c>
      <c r="G78" s="509">
        <f t="shared" si="5"/>
        <v>-1.0475539404070798E-3</v>
      </c>
    </row>
    <row r="79" spans="1:7" ht="15.75">
      <c r="A79" s="649" t="s">
        <v>2094</v>
      </c>
      <c r="B79" s="44">
        <v>80017.116999999998</v>
      </c>
      <c r="C79" s="44">
        <v>88845.686000000002</v>
      </c>
      <c r="D79" s="44">
        <f t="shared" si="2"/>
        <v>-8828.5690000000031</v>
      </c>
      <c r="E79" s="863">
        <f t="shared" si="3"/>
        <v>-2707.236515286254</v>
      </c>
      <c r="F79" s="509">
        <f t="shared" si="4"/>
        <v>-8.9974737683783425E-3</v>
      </c>
      <c r="G79" s="509">
        <f t="shared" si="5"/>
        <v>-9.9369698152817487E-2</v>
      </c>
    </row>
    <row r="80" spans="1:7" ht="15.75">
      <c r="A80" s="649" t="s">
        <v>2093</v>
      </c>
      <c r="B80" s="44">
        <v>360720.70200000005</v>
      </c>
      <c r="C80" s="44">
        <v>430873.18799999997</v>
      </c>
      <c r="D80" s="44">
        <f t="shared" si="2"/>
        <v>-70152.485999999917</v>
      </c>
      <c r="E80" s="863">
        <f t="shared" si="3"/>
        <v>-21511.908865106841</v>
      </c>
      <c r="F80" s="509">
        <f t="shared" si="4"/>
        <v>-7.1494616236394359E-2</v>
      </c>
      <c r="G80" s="509">
        <f t="shared" si="5"/>
        <v>-0.16281469340347982</v>
      </c>
    </row>
    <row r="82" spans="2:4">
      <c r="B82" s="700">
        <f>SUM(B67:B81)</f>
        <v>4248881.1190000009</v>
      </c>
      <c r="C82" s="700">
        <f>SUM(C67:C81)</f>
        <v>3267653.5847749999</v>
      </c>
      <c r="D82" s="700">
        <f>SUM(D67:D81)</f>
        <v>981227.53422500042</v>
      </c>
    </row>
  </sheetData>
  <autoFilter ref="A4:N54" xr:uid="{CAFE4CFC-D169-4C13-99C9-BD15248192EE}"/>
  <conditionalFormatting sqref="A1:A65 A81:A1048576">
    <cfRule type="duplicateValues" dxfId="1" priority="1"/>
  </conditionalFormatting>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69115A-21C9-49B4-86C0-9A7C013CD7BC}">
  <sheetPr>
    <tabColor theme="4"/>
  </sheetPr>
  <dimension ref="A1:G22"/>
  <sheetViews>
    <sheetView zoomScale="80" zoomScaleNormal="80" workbookViewId="0">
      <selection activeCell="O14" sqref="O14"/>
    </sheetView>
  </sheetViews>
  <sheetFormatPr baseColWidth="10" defaultRowHeight="15.75"/>
  <cols>
    <col min="1" max="1" width="5.5" bestFit="1" customWidth="1"/>
    <col min="2" max="2" width="14.25" bestFit="1" customWidth="1"/>
    <col min="3" max="3" width="13.375" bestFit="1" customWidth="1"/>
    <col min="4" max="4" width="13.125" bestFit="1" customWidth="1"/>
    <col min="5" max="5" width="13" bestFit="1" customWidth="1"/>
    <col min="6" max="6" width="7.375" bestFit="1" customWidth="1"/>
    <col min="7" max="7" width="12.375" bestFit="1" customWidth="1"/>
  </cols>
  <sheetData>
    <row r="1" spans="1:7">
      <c r="B1" t="s">
        <v>2041</v>
      </c>
    </row>
    <row r="2" spans="1:7" ht="16.5" thickBot="1"/>
    <row r="3" spans="1:7">
      <c r="A3" s="852"/>
      <c r="B3" s="853" t="s">
        <v>2042</v>
      </c>
      <c r="C3" s="853" t="s">
        <v>503</v>
      </c>
      <c r="D3" s="854" t="s">
        <v>2043</v>
      </c>
      <c r="G3" s="547">
        <v>3.2610999999999999</v>
      </c>
    </row>
    <row r="4" spans="1:7">
      <c r="A4" s="855">
        <v>2022</v>
      </c>
      <c r="B4" s="709">
        <v>205264</v>
      </c>
      <c r="C4" s="709">
        <v>39205371.721170269</v>
      </c>
      <c r="D4" s="856">
        <f>+C4/B4</f>
        <v>190.9997453093103</v>
      </c>
      <c r="E4" s="709">
        <f>+C4-C5</f>
        <v>6210014.3281324469</v>
      </c>
      <c r="F4" s="857">
        <f>+E4/C5</f>
        <v>0.18820873052409456</v>
      </c>
      <c r="G4" s="709">
        <f>E4/G3</f>
        <v>1904269.825559611</v>
      </c>
    </row>
    <row r="5" spans="1:7" ht="16.5" thickBot="1">
      <c r="A5" s="858">
        <v>2021</v>
      </c>
      <c r="B5" s="859">
        <v>187003</v>
      </c>
      <c r="C5" s="859">
        <v>32995357.393037822</v>
      </c>
      <c r="D5" s="860">
        <f>+C5/B5</f>
        <v>176.44293082484143</v>
      </c>
    </row>
    <row r="6" spans="1:7">
      <c r="B6" s="709">
        <f>+B4-B5</f>
        <v>18261</v>
      </c>
      <c r="D6" s="709">
        <f>+D4-D5</f>
        <v>14.556814484468873</v>
      </c>
    </row>
    <row r="7" spans="1:7" ht="16.5" thickBot="1">
      <c r="B7" s="857">
        <f>+B6/B5</f>
        <v>9.7650839826099053E-2</v>
      </c>
      <c r="C7" s="857"/>
      <c r="D7" s="857">
        <f>+D6/D5</f>
        <v>8.2501545493594897E-2</v>
      </c>
    </row>
    <row r="8" spans="1:7">
      <c r="B8" s="852" t="s">
        <v>2044</v>
      </c>
      <c r="C8" s="861">
        <f>+(D4-D5)*B5</f>
        <v>2722167.9790391326</v>
      </c>
      <c r="D8" s="415">
        <f>+C8/$C$10</f>
        <v>0.43835132017445388</v>
      </c>
      <c r="E8" s="709">
        <f>+C8/$G$3</f>
        <v>834739.19200243254</v>
      </c>
    </row>
    <row r="9" spans="1:7" ht="16.5" thickBot="1">
      <c r="B9" s="858" t="s">
        <v>2045</v>
      </c>
      <c r="C9" s="862">
        <f>+(B4-B5)*D4</f>
        <v>3487846.3490933152</v>
      </c>
      <c r="D9" s="415">
        <f>+C9/$C$10</f>
        <v>0.56164867982554612</v>
      </c>
      <c r="E9" s="709">
        <f>+C9/$G$3</f>
        <v>1069530.6335571785</v>
      </c>
    </row>
    <row r="10" spans="1:7">
      <c r="C10" s="709">
        <f>SUM(C8:C9)</f>
        <v>6210014.3281324478</v>
      </c>
    </row>
    <row r="13" spans="1:7">
      <c r="B13" t="s">
        <v>2046</v>
      </c>
    </row>
    <row r="14" spans="1:7" ht="16.5" thickBot="1"/>
    <row r="15" spans="1:7">
      <c r="A15" s="852"/>
      <c r="B15" s="853" t="s">
        <v>2042</v>
      </c>
      <c r="C15" s="853" t="s">
        <v>503</v>
      </c>
      <c r="D15" s="854" t="s">
        <v>2043</v>
      </c>
    </row>
    <row r="16" spans="1:7">
      <c r="A16" s="855">
        <v>2022</v>
      </c>
      <c r="B16" s="709">
        <v>64997</v>
      </c>
      <c r="C16" s="709">
        <v>6044679.6442920621</v>
      </c>
      <c r="D16" s="856">
        <f>+C16/B16</f>
        <v>92.999363728973066</v>
      </c>
      <c r="E16" s="709">
        <f>+C16-C17</f>
        <v>-1231459.6169149419</v>
      </c>
      <c r="F16" s="415">
        <f>+E16/C17</f>
        <v>-0.16924629569427194</v>
      </c>
    </row>
    <row r="17" spans="1:5" ht="16.5" thickBot="1">
      <c r="A17" s="858">
        <v>2021</v>
      </c>
      <c r="B17" s="859">
        <v>85804</v>
      </c>
      <c r="C17" s="859">
        <v>7276139.2612070041</v>
      </c>
      <c r="D17" s="860">
        <f>+C17/B17</f>
        <v>84.799534534602159</v>
      </c>
    </row>
    <row r="18" spans="1:5">
      <c r="B18" s="709">
        <f>+B16-B17</f>
        <v>-20807</v>
      </c>
      <c r="D18" s="415">
        <f>+(D16-D17)/D17</f>
        <v>9.6696629755968697E-2</v>
      </c>
    </row>
    <row r="19" spans="1:5" ht="16.5" thickBot="1">
      <c r="B19">
        <f>+B18/B16</f>
        <v>-0.3201224671907934</v>
      </c>
    </row>
    <row r="20" spans="1:5">
      <c r="B20" s="852" t="s">
        <v>2044</v>
      </c>
      <c r="C20" s="861">
        <f>+(D16-D17)*B17</f>
        <v>703578.14419380121</v>
      </c>
      <c r="D20" s="415">
        <f>+C20/$C$22</f>
        <v>-0.5713367572348077</v>
      </c>
      <c r="E20" s="709">
        <f>+C20/$G$3</f>
        <v>215748.71797669536</v>
      </c>
    </row>
    <row r="21" spans="1:5" ht="16.5" thickBot="1">
      <c r="B21" s="858" t="s">
        <v>2045</v>
      </c>
      <c r="C21" s="862">
        <f>+(B16-B17)*D16</f>
        <v>-1935037.7611087426</v>
      </c>
      <c r="D21" s="415">
        <f>+C21/$C$22</f>
        <v>1.5713367572348076</v>
      </c>
      <c r="E21" s="709">
        <f>+C21/$G$3</f>
        <v>-593369.64861817867</v>
      </c>
    </row>
    <row r="22" spans="1:5">
      <c r="C22" s="709">
        <f>SUM(C20:C21)</f>
        <v>-1231459.6169149415</v>
      </c>
    </row>
  </sheetData>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584B75-9C6D-4552-926A-3323441B618C}">
  <dimension ref="B1:T77"/>
  <sheetViews>
    <sheetView showGridLines="0" zoomScale="70" zoomScaleNormal="70" zoomScaleSheetLayoutView="100" workbookViewId="0">
      <pane ySplit="6" topLeftCell="A12" activePane="bottomLeft" state="frozen"/>
      <selection activeCell="C2" sqref="C2"/>
      <selection pane="bottomLeft" activeCell="K17" sqref="K17"/>
    </sheetView>
  </sheetViews>
  <sheetFormatPr baseColWidth="10" defaultColWidth="10.375" defaultRowHeight="15"/>
  <cols>
    <col min="1" max="1" width="10.375" style="453"/>
    <col min="2" max="2" width="22.875" style="453" customWidth="1"/>
    <col min="3" max="4" width="12.125" style="453" customWidth="1"/>
    <col min="5" max="5" width="9.875" style="453" customWidth="1"/>
    <col min="6" max="8" width="12.125" style="453" customWidth="1"/>
    <col min="9" max="9" width="3.875" style="453" customWidth="1"/>
    <col min="10" max="12" width="12.125" style="453" customWidth="1"/>
    <col min="13" max="13" width="1.875" style="453" customWidth="1"/>
    <col min="14" max="14" width="3" style="453" customWidth="1"/>
    <col min="15" max="15" width="7.125" style="597" customWidth="1"/>
    <col min="16" max="16" width="5.625" style="502" customWidth="1"/>
    <col min="17" max="17" width="8.625" style="502" customWidth="1"/>
    <col min="18" max="18" width="19.375" style="453" customWidth="1"/>
    <col min="19" max="16384" width="10.375" style="453"/>
  </cols>
  <sheetData>
    <row r="1" spans="2:20" ht="15.75" thickBot="1"/>
    <row r="2" spans="2:20" ht="21" customHeight="1">
      <c r="B2" s="462"/>
      <c r="C2" s="463"/>
      <c r="D2" s="463"/>
      <c r="E2" s="463"/>
      <c r="F2" s="463"/>
      <c r="G2" s="463"/>
      <c r="H2" s="464"/>
      <c r="I2" s="464"/>
      <c r="J2" s="464"/>
      <c r="K2" s="464"/>
      <c r="L2" s="464"/>
      <c r="M2" s="465"/>
    </row>
    <row r="3" spans="2:20" ht="15.75">
      <c r="B3" s="466" t="s">
        <v>592</v>
      </c>
      <c r="C3" s="448">
        <v>3.2183999999999999</v>
      </c>
      <c r="D3" s="449"/>
      <c r="E3" s="450"/>
      <c r="F3" s="451">
        <v>3.2837000000000001</v>
      </c>
      <c r="G3" s="449"/>
      <c r="H3" s="452"/>
      <c r="I3" s="430"/>
      <c r="J3" s="430"/>
      <c r="K3" s="430"/>
      <c r="L3" s="430"/>
      <c r="M3" s="455"/>
      <c r="O3" s="1261" t="s">
        <v>606</v>
      </c>
      <c r="P3" s="1261"/>
      <c r="Q3" s="1261"/>
      <c r="R3" s="1261"/>
    </row>
    <row r="4" spans="2:20">
      <c r="B4" s="447"/>
      <c r="C4" s="430"/>
      <c r="D4" s="430"/>
      <c r="E4" s="430"/>
      <c r="F4" s="430"/>
      <c r="G4" s="430"/>
      <c r="H4" s="430"/>
      <c r="I4" s="430"/>
      <c r="J4" s="430"/>
      <c r="K4" s="430"/>
      <c r="L4" s="430"/>
      <c r="M4" s="455"/>
    </row>
    <row r="5" spans="2:20">
      <c r="B5" s="1263" t="s">
        <v>169</v>
      </c>
      <c r="C5" s="1262">
        <v>44834</v>
      </c>
      <c r="D5" s="1264"/>
      <c r="E5" s="1265" t="s">
        <v>594</v>
      </c>
      <c r="F5" s="1262">
        <v>44469</v>
      </c>
      <c r="G5" s="1264"/>
      <c r="H5" s="1266" t="s">
        <v>594</v>
      </c>
      <c r="I5" s="430"/>
      <c r="J5" s="1262" t="s">
        <v>593</v>
      </c>
      <c r="K5" s="1262"/>
      <c r="L5" s="1262"/>
      <c r="M5" s="455"/>
    </row>
    <row r="6" spans="2:20">
      <c r="B6" s="1263"/>
      <c r="C6" s="446" t="s">
        <v>521</v>
      </c>
      <c r="D6" s="446" t="s">
        <v>522</v>
      </c>
      <c r="E6" s="1265"/>
      <c r="F6" s="446" t="s">
        <v>521</v>
      </c>
      <c r="G6" s="446" t="s">
        <v>522</v>
      </c>
      <c r="H6" s="1266"/>
      <c r="I6" s="430"/>
      <c r="J6" s="446" t="s">
        <v>521</v>
      </c>
      <c r="K6" s="446" t="s">
        <v>522</v>
      </c>
      <c r="L6" s="446" t="s">
        <v>596</v>
      </c>
      <c r="M6" s="455"/>
    </row>
    <row r="7" spans="2:20">
      <c r="B7" s="454" t="s">
        <v>597</v>
      </c>
      <c r="C7" s="459">
        <v>23107429.559999999</v>
      </c>
      <c r="D7" s="431">
        <f>+C7/$C$3</f>
        <v>7179787.9567486951</v>
      </c>
      <c r="F7" s="459">
        <v>19692996.905000001</v>
      </c>
      <c r="G7" s="431">
        <f t="shared" ref="G7:G12" si="0">+F7/$F$3</f>
        <v>5997197.3398909764</v>
      </c>
      <c r="J7" s="459">
        <f>C7-F7</f>
        <v>3414432.6549999975</v>
      </c>
      <c r="K7" s="431">
        <f>D7-G7</f>
        <v>1182590.6168577187</v>
      </c>
      <c r="L7" s="435">
        <f t="shared" ref="L7:L23" si="1">K7/G7</f>
        <v>0.19719054582239529</v>
      </c>
      <c r="M7" s="455"/>
    </row>
    <row r="8" spans="2:20" ht="18" customHeight="1">
      <c r="B8" s="454" t="s">
        <v>598</v>
      </c>
      <c r="C8" s="459">
        <v>4966508.5109999999</v>
      </c>
      <c r="D8" s="431">
        <f>+C8/$C$3</f>
        <v>1543160.7354586129</v>
      </c>
      <c r="F8" s="459">
        <v>6378575.5575000001</v>
      </c>
      <c r="G8" s="431">
        <f t="shared" si="0"/>
        <v>1942496.4392301368</v>
      </c>
      <c r="J8" s="459">
        <f t="shared" ref="J8:K23" si="2">C8-F8</f>
        <v>-1412067.0465000002</v>
      </c>
      <c r="K8" s="431">
        <f t="shared" si="2"/>
        <v>-399335.7037715239</v>
      </c>
      <c r="L8" s="435">
        <f t="shared" si="1"/>
        <v>-0.20557860272309755</v>
      </c>
      <c r="M8" s="455"/>
    </row>
    <row r="9" spans="2:20" ht="18" customHeight="1">
      <c r="B9" s="454" t="s">
        <v>599</v>
      </c>
      <c r="C9" s="459">
        <v>418522.49199999997</v>
      </c>
      <c r="D9" s="431">
        <f>+C9/$C$3</f>
        <v>130040.54561272681</v>
      </c>
      <c r="F9" s="459">
        <v>154250.34399999998</v>
      </c>
      <c r="G9" s="431">
        <f t="shared" si="0"/>
        <v>46974.554313731453</v>
      </c>
      <c r="J9" s="459">
        <f t="shared" si="2"/>
        <v>264272.14799999999</v>
      </c>
      <c r="K9" s="431">
        <f t="shared" si="2"/>
        <v>83065.991298995359</v>
      </c>
      <c r="L9" s="435">
        <f t="shared" si="1"/>
        <v>1.7683188805628278</v>
      </c>
      <c r="M9" s="455"/>
    </row>
    <row r="10" spans="2:20" ht="18" customHeight="1">
      <c r="B10" s="467" t="s">
        <v>600</v>
      </c>
      <c r="C10" s="432">
        <f>SUM(C7:C9)</f>
        <v>28492460.562999997</v>
      </c>
      <c r="D10" s="432">
        <f>SUM(D7:D9)</f>
        <v>8852989.2378200348</v>
      </c>
      <c r="E10" s="430"/>
      <c r="F10" s="432">
        <f>SUM(F7:F9)</f>
        <v>26225822.806500003</v>
      </c>
      <c r="G10" s="432">
        <f t="shared" si="0"/>
        <v>7986668.3334348453</v>
      </c>
      <c r="H10" s="430"/>
      <c r="I10" s="430"/>
      <c r="J10" s="432">
        <f t="shared" si="2"/>
        <v>2266637.7564999945</v>
      </c>
      <c r="K10" s="432">
        <f t="shared" si="2"/>
        <v>866320.90438518953</v>
      </c>
      <c r="L10" s="445">
        <f t="shared" si="1"/>
        <v>0.1084708752407412</v>
      </c>
      <c r="M10" s="455"/>
    </row>
    <row r="11" spans="2:20" ht="18" customHeight="1">
      <c r="B11" s="447" t="s">
        <v>573</v>
      </c>
      <c r="C11" s="431">
        <v>1148054.3859999999</v>
      </c>
      <c r="D11" s="431">
        <f>+C11/$C$3</f>
        <v>356715.87931891624</v>
      </c>
      <c r="E11" s="435">
        <f>+D11/$D$10</f>
        <v>4.0293269282992393E-2</v>
      </c>
      <c r="F11" s="431">
        <v>187199.09899999999</v>
      </c>
      <c r="G11" s="431">
        <f t="shared" si="0"/>
        <v>57008.587568900934</v>
      </c>
      <c r="H11" s="435">
        <f t="shared" ref="H11:H23" si="3">+G11/$G$10</f>
        <v>7.13796857323398E-3</v>
      </c>
      <c r="I11" s="430"/>
      <c r="J11" s="431">
        <f t="shared" si="2"/>
        <v>960855.28700000001</v>
      </c>
      <c r="K11" s="431">
        <f t="shared" si="2"/>
        <v>299707.29175001528</v>
      </c>
      <c r="L11" s="435">
        <f t="shared" si="1"/>
        <v>5.2572306126298463</v>
      </c>
      <c r="M11" s="455"/>
    </row>
    <row r="12" spans="2:20" ht="18" customHeight="1">
      <c r="B12" s="447" t="s">
        <v>572</v>
      </c>
      <c r="C12" s="431">
        <v>-20162944.517000001</v>
      </c>
      <c r="D12" s="431">
        <f>+C12/$C$3</f>
        <v>-6264897.0037907036</v>
      </c>
      <c r="E12" s="435">
        <f>+D12/$D$10</f>
        <v>-0.70765894270231544</v>
      </c>
      <c r="F12" s="431">
        <v>-16890152.3105</v>
      </c>
      <c r="G12" s="431">
        <f t="shared" si="0"/>
        <v>-5143634.4095075671</v>
      </c>
      <c r="H12" s="435">
        <f t="shared" si="3"/>
        <v>-0.64402754625162106</v>
      </c>
      <c r="I12" s="430"/>
      <c r="J12" s="431">
        <f t="shared" si="2"/>
        <v>-3272792.2065000013</v>
      </c>
      <c r="K12" s="431">
        <f t="shared" si="2"/>
        <v>-1121262.5942831365</v>
      </c>
      <c r="L12" s="435">
        <f>-K12/G12</f>
        <v>-0.21799033621257741</v>
      </c>
      <c r="M12" s="455"/>
    </row>
    <row r="13" spans="2:20" ht="30" customHeight="1">
      <c r="B13" s="602" t="s">
        <v>574</v>
      </c>
      <c r="C13" s="528">
        <f>C10+C11+C12</f>
        <v>9477570.4319999963</v>
      </c>
      <c r="D13" s="528">
        <f>D10+D11+D12</f>
        <v>2944808.1133482484</v>
      </c>
      <c r="E13" s="603">
        <f>+D13/$D$10</f>
        <v>0.33263432658067704</v>
      </c>
      <c r="F13" s="528">
        <f>F10+F11+F12</f>
        <v>9522869.5950000025</v>
      </c>
      <c r="G13" s="528">
        <f>G10+G11+G12</f>
        <v>2900042.5114961788</v>
      </c>
      <c r="H13" s="603">
        <f t="shared" si="3"/>
        <v>0.36311042232161289</v>
      </c>
      <c r="I13" s="529"/>
      <c r="J13" s="528">
        <f t="shared" si="2"/>
        <v>-45299.163000006229</v>
      </c>
      <c r="K13" s="528">
        <f>D13-G13</f>
        <v>44765.601852069609</v>
      </c>
      <c r="L13" s="603">
        <f>K13/G13</f>
        <v>1.5436188150557252E-2</v>
      </c>
      <c r="M13" s="604"/>
      <c r="N13" s="605"/>
      <c r="O13" s="606">
        <f>E13-H13</f>
        <v>-3.0476095740935849E-2</v>
      </c>
      <c r="P13" s="607"/>
      <c r="Q13" s="608">
        <f>K11+K12</f>
        <v>-821555.30253312131</v>
      </c>
      <c r="R13" s="609" t="s">
        <v>607</v>
      </c>
    </row>
    <row r="14" spans="2:20" ht="18" customHeight="1">
      <c r="B14" s="447" t="s">
        <v>578</v>
      </c>
      <c r="C14" s="431">
        <v>-2683234.2450000001</v>
      </c>
      <c r="D14" s="431">
        <f>+C14/$C$3</f>
        <v>-833716.8297912007</v>
      </c>
      <c r="E14" s="435">
        <f t="shared" ref="E14:E15" si="4">+D14/$D$10</f>
        <v>-9.4173482808445799E-2</v>
      </c>
      <c r="F14" s="431">
        <v>-2320730.1050000004</v>
      </c>
      <c r="G14" s="431">
        <f>+F14/$F$3</f>
        <v>-706742.42622651288</v>
      </c>
      <c r="H14" s="435">
        <f t="shared" si="3"/>
        <v>-8.8490268622756552E-2</v>
      </c>
      <c r="I14" s="430"/>
      <c r="J14" s="431">
        <f t="shared" si="2"/>
        <v>-362504.13999999966</v>
      </c>
      <c r="K14" s="431">
        <f t="shared" si="2"/>
        <v>-126974.40356468782</v>
      </c>
      <c r="L14" s="435">
        <f>-K14/G14</f>
        <v>-0.1796614988046468</v>
      </c>
      <c r="M14" s="455"/>
      <c r="R14" s="600"/>
      <c r="T14" s="498"/>
    </row>
    <row r="15" spans="2:20" ht="18" customHeight="1">
      <c r="B15" s="447" t="s">
        <v>579</v>
      </c>
      <c r="C15" s="431">
        <v>-1945812.15</v>
      </c>
      <c r="D15" s="431">
        <f>+C15/$C$3</f>
        <v>-604589.90492170025</v>
      </c>
      <c r="E15" s="435">
        <f t="shared" si="4"/>
        <v>-6.8292176651349332E-2</v>
      </c>
      <c r="F15" s="431">
        <v>-1847464.1314999999</v>
      </c>
      <c r="G15" s="431">
        <f>+F15/$F$3</f>
        <v>-562616.60063343181</v>
      </c>
      <c r="H15" s="435">
        <f t="shared" si="3"/>
        <v>-7.0444467848768913E-2</v>
      </c>
      <c r="I15" s="430"/>
      <c r="J15" s="431">
        <f t="shared" si="2"/>
        <v>-98348.018500000006</v>
      </c>
      <c r="K15" s="431">
        <f t="shared" si="2"/>
        <v>-41973.304288268439</v>
      </c>
      <c r="L15" s="435">
        <f>-K15/G15</f>
        <v>-7.460374301258095E-2</v>
      </c>
      <c r="M15" s="455"/>
      <c r="R15" s="600"/>
    </row>
    <row r="16" spans="2:20" ht="18" customHeight="1">
      <c r="B16" s="610" t="s">
        <v>595</v>
      </c>
      <c r="C16" s="611">
        <f>SUM(C11:C15)-C13</f>
        <v>-23643936.526000001</v>
      </c>
      <c r="D16" s="611">
        <f>SUM(D11:D15)-D13</f>
        <v>-7346487.8591846889</v>
      </c>
      <c r="E16" s="612">
        <f>D16/D10</f>
        <v>-0.82983133287911826</v>
      </c>
      <c r="F16" s="611">
        <f>SUM(F11:F15)-F13</f>
        <v>-20871147.447999999</v>
      </c>
      <c r="G16" s="611">
        <f>SUM(G11:G15)-G13</f>
        <v>-6355984.8487986112</v>
      </c>
      <c r="H16" s="612">
        <f t="shared" si="3"/>
        <v>-0.79582431414991261</v>
      </c>
      <c r="I16" s="430"/>
      <c r="J16" s="611">
        <f t="shared" si="2"/>
        <v>-2772789.0780000016</v>
      </c>
      <c r="K16" s="611">
        <f t="shared" si="2"/>
        <v>-990503.01038607769</v>
      </c>
      <c r="L16" s="612">
        <f>-K16/G16</f>
        <v>-0.1558378495149024</v>
      </c>
      <c r="M16" s="455"/>
      <c r="R16" s="600"/>
    </row>
    <row r="17" spans="2:18" ht="33" customHeight="1">
      <c r="B17" s="613" t="s">
        <v>5</v>
      </c>
      <c r="C17" s="534">
        <f>+C10+C16</f>
        <v>4848524.0369999968</v>
      </c>
      <c r="D17" s="534">
        <f>+D10+D16</f>
        <v>1506501.378635346</v>
      </c>
      <c r="E17" s="535">
        <f>+D17/D10</f>
        <v>0.17016866712088172</v>
      </c>
      <c r="F17" s="534">
        <f>+F10+F16</f>
        <v>5354675.3585000038</v>
      </c>
      <c r="G17" s="534">
        <f>+F17/$F$3</f>
        <v>1630683.4846362346</v>
      </c>
      <c r="H17" s="535">
        <f t="shared" si="3"/>
        <v>0.20417568585008747</v>
      </c>
      <c r="I17" s="529"/>
      <c r="J17" s="534">
        <f t="shared" si="2"/>
        <v>-506151.32150000706</v>
      </c>
      <c r="K17" s="534">
        <f t="shared" si="2"/>
        <v>-124182.10600088863</v>
      </c>
      <c r="L17" s="535">
        <f t="shared" si="1"/>
        <v>-7.6153408782815138E-2</v>
      </c>
      <c r="M17" s="604"/>
      <c r="N17" s="605"/>
      <c r="O17" s="606">
        <f>E17-H17</f>
        <v>-3.4007018729205751E-2</v>
      </c>
      <c r="P17" s="614">
        <f>O17-O13</f>
        <v>-3.5309229882699023E-3</v>
      </c>
      <c r="Q17" s="608">
        <f>K14+K15</f>
        <v>-168947.70785295626</v>
      </c>
      <c r="R17" s="609" t="s">
        <v>608</v>
      </c>
    </row>
    <row r="18" spans="2:18" ht="18" customHeight="1">
      <c r="B18" s="447" t="s">
        <v>580</v>
      </c>
      <c r="C18" s="431">
        <v>-1678133.642</v>
      </c>
      <c r="D18" s="431">
        <f>+C18/$C$3</f>
        <v>-521418.60613969673</v>
      </c>
      <c r="E18" s="435">
        <f t="shared" ref="E18:E22" si="5">+D18/$D$10</f>
        <v>-5.8897463007431733E-2</v>
      </c>
      <c r="F18" s="431">
        <v>-1584631.1270000001</v>
      </c>
      <c r="G18" s="431">
        <f>+F18/$F$3</f>
        <v>-482574.87803392514</v>
      </c>
      <c r="H18" s="435">
        <f t="shared" si="3"/>
        <v>-6.0422551417805406E-2</v>
      </c>
      <c r="I18" s="430"/>
      <c r="J18" s="431">
        <f t="shared" si="2"/>
        <v>-93502.514999999898</v>
      </c>
      <c r="K18" s="431">
        <f t="shared" si="2"/>
        <v>-38843.728105771588</v>
      </c>
      <c r="L18" s="435">
        <f>-K18/G18</f>
        <v>-8.0492644507368788E-2</v>
      </c>
      <c r="M18" s="455"/>
      <c r="R18" s="600"/>
    </row>
    <row r="19" spans="2:18" ht="18" customHeight="1">
      <c r="B19" s="468" t="s">
        <v>528</v>
      </c>
      <c r="C19" s="433">
        <f>C17+C18</f>
        <v>3170390.3949999968</v>
      </c>
      <c r="D19" s="433">
        <f>D17+D18</f>
        <v>985082.77249564929</v>
      </c>
      <c r="E19" s="461">
        <f>+D19/$D$10</f>
        <v>0.11127120411345001</v>
      </c>
      <c r="F19" s="433">
        <f>F17+F18</f>
        <v>3770044.2315000035</v>
      </c>
      <c r="G19" s="433">
        <f>G17+G18</f>
        <v>1148108.6066023095</v>
      </c>
      <c r="H19" s="461">
        <f t="shared" si="3"/>
        <v>0.14375313443228208</v>
      </c>
      <c r="I19" s="430"/>
      <c r="J19" s="433">
        <f t="shared" si="2"/>
        <v>-599653.83650000673</v>
      </c>
      <c r="K19" s="433">
        <f t="shared" si="2"/>
        <v>-163025.83410666022</v>
      </c>
      <c r="L19" s="461">
        <f t="shared" si="1"/>
        <v>-0.14199513283775106</v>
      </c>
      <c r="M19" s="455"/>
      <c r="O19" s="598"/>
      <c r="P19" s="615"/>
      <c r="Q19" s="596"/>
      <c r="R19" s="601"/>
    </row>
    <row r="20" spans="2:18" ht="18" customHeight="1">
      <c r="B20" s="447" t="s">
        <v>584</v>
      </c>
      <c r="C20" s="431">
        <v>-1068193.2719999999</v>
      </c>
      <c r="D20" s="431">
        <f>+C20/$C$3</f>
        <v>-331901.96122296789</v>
      </c>
      <c r="E20" s="435">
        <f t="shared" si="5"/>
        <v>-3.7490383452075178E-2</v>
      </c>
      <c r="F20" s="431">
        <v>-938358.15700000001</v>
      </c>
      <c r="G20" s="431">
        <f t="shared" ref="G20:G22" si="6">+F20/$F$3</f>
        <v>-285762.44998020527</v>
      </c>
      <c r="H20" s="435">
        <f t="shared" si="3"/>
        <v>-3.5779932012940711E-2</v>
      </c>
      <c r="I20" s="430"/>
      <c r="J20" s="431">
        <f t="shared" si="2"/>
        <v>-129835.11499999987</v>
      </c>
      <c r="K20" s="431">
        <f t="shared" si="2"/>
        <v>-46139.511242762615</v>
      </c>
      <c r="L20" s="435">
        <f t="shared" ref="L20:L22" si="7">-K20/G20</f>
        <v>-0.16146107106080135</v>
      </c>
      <c r="M20" s="455"/>
      <c r="R20" s="600"/>
    </row>
    <row r="21" spans="2:18" ht="18" customHeight="1">
      <c r="B21" s="447" t="s">
        <v>585</v>
      </c>
      <c r="C21" s="431">
        <v>3440.0020000000004</v>
      </c>
      <c r="D21" s="431">
        <f>+C21/$C$3</f>
        <v>1068.8547104151132</v>
      </c>
      <c r="E21" s="435">
        <f t="shared" si="5"/>
        <v>1.2073376367034968E-4</v>
      </c>
      <c r="F21" s="431">
        <v>1.1160000000000001</v>
      </c>
      <c r="G21" s="431">
        <f t="shared" si="6"/>
        <v>0.33986052319030363</v>
      </c>
      <c r="H21" s="435">
        <f t="shared" si="3"/>
        <v>4.255347899793643E-8</v>
      </c>
      <c r="I21" s="430"/>
      <c r="J21" s="431">
        <f t="shared" si="2"/>
        <v>3438.8860000000004</v>
      </c>
      <c r="K21" s="431">
        <f t="shared" si="2"/>
        <v>1068.5148498919229</v>
      </c>
      <c r="L21" s="435">
        <v>-1</v>
      </c>
      <c r="M21" s="455"/>
      <c r="R21" s="600"/>
    </row>
    <row r="22" spans="2:18" ht="18" customHeight="1">
      <c r="B22" s="447" t="s">
        <v>586</v>
      </c>
      <c r="C22" s="431">
        <v>-16672.681</v>
      </c>
      <c r="D22" s="431">
        <f>+C22/$C$3</f>
        <v>-5180.4253666418099</v>
      </c>
      <c r="E22" s="435">
        <f t="shared" si="5"/>
        <v>-5.8516115037291524E-4</v>
      </c>
      <c r="F22" s="431">
        <v>-2280.5509999999999</v>
      </c>
      <c r="G22" s="431">
        <f t="shared" si="6"/>
        <v>-694.50650181198034</v>
      </c>
      <c r="H22" s="435">
        <f t="shared" si="3"/>
        <v>-8.6958224984070711E-5</v>
      </c>
      <c r="I22" s="430"/>
      <c r="J22" s="431">
        <f t="shared" si="2"/>
        <v>-14392.130000000001</v>
      </c>
      <c r="K22" s="431">
        <f t="shared" si="2"/>
        <v>-4485.9188648298295</v>
      </c>
      <c r="L22" s="435">
        <f t="shared" si="7"/>
        <v>-6.4591459592185014</v>
      </c>
      <c r="M22" s="455"/>
      <c r="R22" s="600"/>
    </row>
    <row r="23" spans="2:18" ht="33" customHeight="1">
      <c r="B23" s="602" t="s">
        <v>529</v>
      </c>
      <c r="C23" s="528">
        <f>C19+C20+C21+C22</f>
        <v>2088964.4439999966</v>
      </c>
      <c r="D23" s="528">
        <f>D19+D20+D21+D22</f>
        <v>649069.24061645474</v>
      </c>
      <c r="E23" s="603">
        <f>+D23/$D$10</f>
        <v>7.3316393274672265E-2</v>
      </c>
      <c r="F23" s="528">
        <f>F19+F20+F21+F22</f>
        <v>2829406.6395000033</v>
      </c>
      <c r="G23" s="528">
        <f>G19+G20+G21+G22</f>
        <v>861651.98998081544</v>
      </c>
      <c r="H23" s="603">
        <f t="shared" si="3"/>
        <v>0.10788628674783628</v>
      </c>
      <c r="I23" s="529"/>
      <c r="J23" s="528">
        <f t="shared" si="2"/>
        <v>-740442.19550000667</v>
      </c>
      <c r="K23" s="528">
        <f t="shared" si="2"/>
        <v>-212582.7493643607</v>
      </c>
      <c r="L23" s="603">
        <f t="shared" si="1"/>
        <v>-0.24671532339766758</v>
      </c>
      <c r="M23" s="604"/>
      <c r="N23" s="605"/>
      <c r="O23" s="606">
        <f>E23-H23</f>
        <v>-3.4569893473164012E-2</v>
      </c>
      <c r="P23" s="614">
        <f>O23-O17</f>
        <v>-5.6287474395826098E-4</v>
      </c>
      <c r="Q23" s="608">
        <f>K20+K21+K22</f>
        <v>-49556.915257700522</v>
      </c>
      <c r="R23" s="609" t="s">
        <v>609</v>
      </c>
    </row>
    <row r="24" spans="2:18">
      <c r="B24" s="454"/>
      <c r="C24" s="469"/>
      <c r="D24" s="469"/>
      <c r="E24" s="469"/>
      <c r="F24" s="460"/>
      <c r="G24" s="469"/>
      <c r="M24" s="455"/>
    </row>
    <row r="25" spans="2:18" ht="6" customHeight="1" thickBot="1">
      <c r="B25" s="470"/>
      <c r="C25" s="471"/>
      <c r="D25" s="471"/>
      <c r="E25" s="471"/>
      <c r="F25" s="472"/>
      <c r="G25" s="472"/>
      <c r="H25" s="471"/>
      <c r="I25" s="471"/>
      <c r="J25" s="471"/>
      <c r="K25" s="471"/>
      <c r="L25" s="471"/>
      <c r="M25" s="473"/>
    </row>
    <row r="26" spans="2:18">
      <c r="F26" s="457"/>
      <c r="G26" s="457"/>
      <c r="H26" s="458"/>
      <c r="Q26" s="504"/>
    </row>
    <row r="27" spans="2:18">
      <c r="Q27" s="504"/>
    </row>
    <row r="28" spans="2:18">
      <c r="Q28" s="504"/>
    </row>
    <row r="29" spans="2:18">
      <c r="D29" s="498">
        <f>D12+D11</f>
        <v>-5908181.1244717874</v>
      </c>
      <c r="F29" s="457"/>
      <c r="G29" s="498">
        <f>G12+G11</f>
        <v>-5086625.8219386665</v>
      </c>
      <c r="K29" s="501">
        <f>D29-G29</f>
        <v>-821555.30253312085</v>
      </c>
      <c r="O29" s="599">
        <f>G30-D30</f>
        <v>3.0476095740935905E-2</v>
      </c>
      <c r="P29" s="504"/>
    </row>
    <row r="30" spans="2:18">
      <c r="D30" s="500">
        <f>D29/D10</f>
        <v>-0.66736567341932307</v>
      </c>
      <c r="F30" s="457"/>
      <c r="G30" s="500">
        <f>G29/G10</f>
        <v>-0.63688957767838716</v>
      </c>
      <c r="O30" s="599">
        <f>D30-G30</f>
        <v>-3.0476095740935905E-2</v>
      </c>
      <c r="P30" s="504"/>
    </row>
    <row r="31" spans="2:18">
      <c r="C31" s="456"/>
      <c r="F31" s="457"/>
      <c r="G31" s="457"/>
    </row>
    <row r="32" spans="2:18">
      <c r="D32" s="498">
        <f>D14+D15</f>
        <v>-1438306.7347129011</v>
      </c>
      <c r="F32" s="457"/>
      <c r="G32" s="498">
        <f>G14+G15</f>
        <v>-1269359.0268599447</v>
      </c>
      <c r="K32" s="498">
        <f>D32-G32</f>
        <v>-168947.70785295637</v>
      </c>
    </row>
    <row r="33" spans="6:7">
      <c r="F33" s="457"/>
      <c r="G33" s="457"/>
    </row>
    <row r="34" spans="6:7">
      <c r="F34" s="457"/>
      <c r="G34" s="457"/>
    </row>
    <row r="35" spans="6:7">
      <c r="F35" s="457"/>
      <c r="G35" s="457"/>
    </row>
    <row r="36" spans="6:7">
      <c r="F36" s="457"/>
      <c r="G36" s="457"/>
    </row>
    <row r="37" spans="6:7">
      <c r="F37" s="457"/>
      <c r="G37" s="457"/>
    </row>
    <row r="38" spans="6:7">
      <c r="F38" s="457"/>
      <c r="G38" s="457"/>
    </row>
    <row r="39" spans="6:7">
      <c r="F39" s="457"/>
      <c r="G39" s="457"/>
    </row>
    <row r="40" spans="6:7">
      <c r="F40" s="457"/>
      <c r="G40" s="457"/>
    </row>
    <row r="41" spans="6:7">
      <c r="F41" s="457"/>
      <c r="G41" s="457"/>
    </row>
    <row r="42" spans="6:7">
      <c r="F42" s="457"/>
      <c r="G42" s="457"/>
    </row>
    <row r="43" spans="6:7">
      <c r="F43" s="457"/>
      <c r="G43" s="457"/>
    </row>
    <row r="44" spans="6:7">
      <c r="F44" s="457"/>
      <c r="G44" s="457"/>
    </row>
    <row r="45" spans="6:7">
      <c r="F45" s="457"/>
      <c r="G45" s="457"/>
    </row>
    <row r="46" spans="6:7">
      <c r="F46" s="457"/>
      <c r="G46" s="457"/>
    </row>
    <row r="47" spans="6:7">
      <c r="F47" s="457"/>
      <c r="G47" s="457"/>
    </row>
    <row r="48" spans="6:7">
      <c r="F48" s="457"/>
      <c r="G48" s="457"/>
    </row>
    <row r="49" spans="6:7">
      <c r="F49" s="457"/>
      <c r="G49" s="457"/>
    </row>
    <row r="50" spans="6:7">
      <c r="F50" s="457"/>
      <c r="G50" s="457"/>
    </row>
    <row r="51" spans="6:7">
      <c r="F51" s="457"/>
      <c r="G51" s="457"/>
    </row>
    <row r="52" spans="6:7">
      <c r="F52" s="457"/>
      <c r="G52" s="457"/>
    </row>
    <row r="53" spans="6:7">
      <c r="F53" s="457"/>
      <c r="G53" s="457"/>
    </row>
    <row r="54" spans="6:7">
      <c r="F54" s="457"/>
      <c r="G54" s="457"/>
    </row>
    <row r="55" spans="6:7">
      <c r="F55" s="457"/>
      <c r="G55" s="457"/>
    </row>
    <row r="56" spans="6:7">
      <c r="F56" s="457"/>
      <c r="G56" s="457"/>
    </row>
    <row r="57" spans="6:7">
      <c r="F57" s="457"/>
      <c r="G57" s="457"/>
    </row>
    <row r="58" spans="6:7">
      <c r="F58" s="457"/>
      <c r="G58" s="457"/>
    </row>
    <row r="59" spans="6:7">
      <c r="F59" s="457"/>
      <c r="G59" s="457"/>
    </row>
    <row r="60" spans="6:7">
      <c r="F60" s="457"/>
      <c r="G60" s="457"/>
    </row>
    <row r="61" spans="6:7">
      <c r="F61" s="457"/>
      <c r="G61" s="457"/>
    </row>
    <row r="62" spans="6:7">
      <c r="F62" s="457"/>
      <c r="G62" s="457"/>
    </row>
    <row r="63" spans="6:7">
      <c r="F63" s="457"/>
      <c r="G63" s="457"/>
    </row>
    <row r="64" spans="6:7">
      <c r="F64" s="457"/>
      <c r="G64" s="457"/>
    </row>
    <row r="65" spans="6:7">
      <c r="F65" s="457"/>
      <c r="G65" s="457"/>
    </row>
    <row r="66" spans="6:7">
      <c r="F66" s="457"/>
      <c r="G66" s="457"/>
    </row>
    <row r="67" spans="6:7">
      <c r="F67" s="457"/>
      <c r="G67" s="457"/>
    </row>
    <row r="68" spans="6:7">
      <c r="F68" s="457"/>
      <c r="G68" s="457"/>
    </row>
    <row r="69" spans="6:7">
      <c r="F69" s="457"/>
      <c r="G69" s="457"/>
    </row>
    <row r="70" spans="6:7">
      <c r="F70" s="457"/>
      <c r="G70" s="457"/>
    </row>
    <row r="71" spans="6:7">
      <c r="F71" s="457"/>
      <c r="G71" s="457"/>
    </row>
    <row r="72" spans="6:7">
      <c r="F72" s="457"/>
      <c r="G72" s="457"/>
    </row>
    <row r="73" spans="6:7">
      <c r="F73" s="457"/>
      <c r="G73" s="457"/>
    </row>
    <row r="74" spans="6:7">
      <c r="F74" s="457"/>
      <c r="G74" s="457"/>
    </row>
    <row r="75" spans="6:7">
      <c r="F75" s="457"/>
      <c r="G75" s="457"/>
    </row>
    <row r="76" spans="6:7">
      <c r="F76" s="457"/>
      <c r="G76" s="457"/>
    </row>
    <row r="77" spans="6:7">
      <c r="G77" s="457"/>
    </row>
  </sheetData>
  <mergeCells count="7">
    <mergeCell ref="O3:R3"/>
    <mergeCell ref="B5:B6"/>
    <mergeCell ref="C5:D5"/>
    <mergeCell ref="E5:E6"/>
    <mergeCell ref="F5:G5"/>
    <mergeCell ref="H5:H6"/>
    <mergeCell ref="J5:L5"/>
  </mergeCells>
  <pageMargins left="0.24" right="0.12" top="0.98425196850393704" bottom="0.98425196850393704" header="0.51181102362204722" footer="0.51181102362204722"/>
  <pageSetup paperSize="9" orientation="portrait" verticalDpi="180"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E90924-384F-49CF-A7E0-39DB171C66AE}">
  <sheetPr codeName="Sheet7"/>
  <dimension ref="C2:AF44"/>
  <sheetViews>
    <sheetView showGridLines="0" zoomScale="80" zoomScaleNormal="80" workbookViewId="0">
      <pane ySplit="6" topLeftCell="A7" activePane="bottomLeft" state="frozen"/>
      <selection activeCell="C47" sqref="C47"/>
      <selection pane="bottomLeft" activeCell="C47" sqref="C47"/>
    </sheetView>
  </sheetViews>
  <sheetFormatPr baseColWidth="10" defaultColWidth="9.375" defaultRowHeight="15"/>
  <cols>
    <col min="1" max="2" width="2.375" style="430" customWidth="1"/>
    <col min="3" max="3" width="27.375" style="430" bestFit="1" customWidth="1"/>
    <col min="4" max="4" width="9.875" style="542" bestFit="1" customWidth="1"/>
    <col min="5" max="5" width="9" style="542" customWidth="1"/>
    <col min="6" max="6" width="9" style="592" customWidth="1"/>
    <col min="7" max="7" width="9.875" style="542" bestFit="1" customWidth="1"/>
    <col min="8" max="8" width="9" style="593" customWidth="1"/>
    <col min="9" max="9" width="9" style="594" customWidth="1"/>
    <col min="10" max="10" width="2.5" style="546" customWidth="1"/>
    <col min="11" max="11" width="9.875" style="546" bestFit="1" customWidth="1"/>
    <col min="12" max="13" width="9" style="546" customWidth="1"/>
    <col min="14" max="14" width="2.5" style="546" customWidth="1"/>
    <col min="15" max="15" width="10.5" style="546" bestFit="1" customWidth="1"/>
    <col min="16" max="16" width="12.375" style="546" bestFit="1" customWidth="1"/>
    <col min="17" max="17" width="9" style="546" customWidth="1"/>
    <col min="18" max="18" width="2.875" style="430" customWidth="1"/>
    <col min="19" max="19" width="6.5" style="430" customWidth="1"/>
    <col min="20" max="20" width="6.875" style="517" customWidth="1"/>
    <col min="21" max="21" width="9.625" style="430" customWidth="1"/>
    <col min="22" max="22" width="71.625" style="430" customWidth="1"/>
    <col min="23" max="23" width="11.125" style="430" customWidth="1"/>
    <col min="24" max="24" width="9.5" style="430" customWidth="1"/>
    <col min="25" max="25" width="9.375" style="430" bestFit="1" customWidth="1"/>
    <col min="26" max="27" width="13.375" style="430" bestFit="1" customWidth="1"/>
    <col min="28" max="28" width="9.375" style="430"/>
    <col min="29" max="29" width="15.875" style="430" bestFit="1" customWidth="1"/>
    <col min="30" max="32" width="11" style="430" bestFit="1" customWidth="1"/>
    <col min="33" max="270" width="9.375" style="430"/>
    <col min="271" max="271" width="1.5" style="430" customWidth="1"/>
    <col min="272" max="272" width="56.625" style="430" bestFit="1" customWidth="1"/>
    <col min="273" max="273" width="5.375" style="430" customWidth="1"/>
    <col min="274" max="274" width="17" style="430" bestFit="1" customWidth="1"/>
    <col min="275" max="275" width="16.875" style="430" customWidth="1"/>
    <col min="276" max="276" width="6" style="430" bestFit="1" customWidth="1"/>
    <col min="277" max="277" width="11.125" style="430" bestFit="1" customWidth="1"/>
    <col min="278" max="278" width="16.875" style="430" customWidth="1"/>
    <col min="279" max="279" width="6" style="430" bestFit="1" customWidth="1"/>
    <col min="280" max="281" width="9.375" style="430"/>
    <col min="282" max="283" width="13.125" style="430" bestFit="1" customWidth="1"/>
    <col min="284" max="284" width="9.375" style="430"/>
    <col min="285" max="285" width="15.875" style="430" bestFit="1" customWidth="1"/>
    <col min="286" max="288" width="10.875" style="430" bestFit="1" customWidth="1"/>
    <col min="289" max="526" width="9.375" style="430"/>
    <col min="527" max="527" width="1.5" style="430" customWidth="1"/>
    <col min="528" max="528" width="56.625" style="430" bestFit="1" customWidth="1"/>
    <col min="529" max="529" width="5.375" style="430" customWidth="1"/>
    <col min="530" max="530" width="17" style="430" bestFit="1" customWidth="1"/>
    <col min="531" max="531" width="16.875" style="430" customWidth="1"/>
    <col min="532" max="532" width="6" style="430" bestFit="1" customWidth="1"/>
    <col min="533" max="533" width="11.125" style="430" bestFit="1" customWidth="1"/>
    <col min="534" max="534" width="16.875" style="430" customWidth="1"/>
    <col min="535" max="535" width="6" style="430" bestFit="1" customWidth="1"/>
    <col min="536" max="537" width="9.375" style="430"/>
    <col min="538" max="539" width="13.125" style="430" bestFit="1" customWidth="1"/>
    <col min="540" max="540" width="9.375" style="430"/>
    <col min="541" max="541" width="15.875" style="430" bestFit="1" customWidth="1"/>
    <col min="542" max="544" width="10.875" style="430" bestFit="1" customWidth="1"/>
    <col min="545" max="782" width="9.375" style="430"/>
    <col min="783" max="783" width="1.5" style="430" customWidth="1"/>
    <col min="784" max="784" width="56.625" style="430" bestFit="1" customWidth="1"/>
    <col min="785" max="785" width="5.375" style="430" customWidth="1"/>
    <col min="786" max="786" width="17" style="430" bestFit="1" customWidth="1"/>
    <col min="787" max="787" width="16.875" style="430" customWidth="1"/>
    <col min="788" max="788" width="6" style="430" bestFit="1" customWidth="1"/>
    <col min="789" max="789" width="11.125" style="430" bestFit="1" customWidth="1"/>
    <col min="790" max="790" width="16.875" style="430" customWidth="1"/>
    <col min="791" max="791" width="6" style="430" bestFit="1" customWidth="1"/>
    <col min="792" max="793" width="9.375" style="430"/>
    <col min="794" max="795" width="13.125" style="430" bestFit="1" customWidth="1"/>
    <col min="796" max="796" width="9.375" style="430"/>
    <col min="797" max="797" width="15.875" style="430" bestFit="1" customWidth="1"/>
    <col min="798" max="800" width="10.875" style="430" bestFit="1" customWidth="1"/>
    <col min="801" max="1038" width="9.375" style="430"/>
    <col min="1039" max="1039" width="1.5" style="430" customWidth="1"/>
    <col min="1040" max="1040" width="56.625" style="430" bestFit="1" customWidth="1"/>
    <col min="1041" max="1041" width="5.375" style="430" customWidth="1"/>
    <col min="1042" max="1042" width="17" style="430" bestFit="1" customWidth="1"/>
    <col min="1043" max="1043" width="16.875" style="430" customWidth="1"/>
    <col min="1044" max="1044" width="6" style="430" bestFit="1" customWidth="1"/>
    <col min="1045" max="1045" width="11.125" style="430" bestFit="1" customWidth="1"/>
    <col min="1046" max="1046" width="16.875" style="430" customWidth="1"/>
    <col min="1047" max="1047" width="6" style="430" bestFit="1" customWidth="1"/>
    <col min="1048" max="1049" width="9.375" style="430"/>
    <col min="1050" max="1051" width="13.125" style="430" bestFit="1" customWidth="1"/>
    <col min="1052" max="1052" width="9.375" style="430"/>
    <col min="1053" max="1053" width="15.875" style="430" bestFit="1" customWidth="1"/>
    <col min="1054" max="1056" width="10.875" style="430" bestFit="1" customWidth="1"/>
    <col min="1057" max="1294" width="9.375" style="430"/>
    <col min="1295" max="1295" width="1.5" style="430" customWidth="1"/>
    <col min="1296" max="1296" width="56.625" style="430" bestFit="1" customWidth="1"/>
    <col min="1297" max="1297" width="5.375" style="430" customWidth="1"/>
    <col min="1298" max="1298" width="17" style="430" bestFit="1" customWidth="1"/>
    <col min="1299" max="1299" width="16.875" style="430" customWidth="1"/>
    <col min="1300" max="1300" width="6" style="430" bestFit="1" customWidth="1"/>
    <col min="1301" max="1301" width="11.125" style="430" bestFit="1" customWidth="1"/>
    <col min="1302" max="1302" width="16.875" style="430" customWidth="1"/>
    <col min="1303" max="1303" width="6" style="430" bestFit="1" customWidth="1"/>
    <col min="1304" max="1305" width="9.375" style="430"/>
    <col min="1306" max="1307" width="13.125" style="430" bestFit="1" customWidth="1"/>
    <col min="1308" max="1308" width="9.375" style="430"/>
    <col min="1309" max="1309" width="15.875" style="430" bestFit="1" customWidth="1"/>
    <col min="1310" max="1312" width="10.875" style="430" bestFit="1" customWidth="1"/>
    <col min="1313" max="1550" width="9.375" style="430"/>
    <col min="1551" max="1551" width="1.5" style="430" customWidth="1"/>
    <col min="1552" max="1552" width="56.625" style="430" bestFit="1" customWidth="1"/>
    <col min="1553" max="1553" width="5.375" style="430" customWidth="1"/>
    <col min="1554" max="1554" width="17" style="430" bestFit="1" customWidth="1"/>
    <col min="1555" max="1555" width="16.875" style="430" customWidth="1"/>
    <col min="1556" max="1556" width="6" style="430" bestFit="1" customWidth="1"/>
    <col min="1557" max="1557" width="11.125" style="430" bestFit="1" customWidth="1"/>
    <col min="1558" max="1558" width="16.875" style="430" customWidth="1"/>
    <col min="1559" max="1559" width="6" style="430" bestFit="1" customWidth="1"/>
    <col min="1560" max="1561" width="9.375" style="430"/>
    <col min="1562" max="1563" width="13.125" style="430" bestFit="1" customWidth="1"/>
    <col min="1564" max="1564" width="9.375" style="430"/>
    <col min="1565" max="1565" width="15.875" style="430" bestFit="1" customWidth="1"/>
    <col min="1566" max="1568" width="10.875" style="430" bestFit="1" customWidth="1"/>
    <col min="1569" max="1806" width="9.375" style="430"/>
    <col min="1807" max="1807" width="1.5" style="430" customWidth="1"/>
    <col min="1808" max="1808" width="56.625" style="430" bestFit="1" customWidth="1"/>
    <col min="1809" max="1809" width="5.375" style="430" customWidth="1"/>
    <col min="1810" max="1810" width="17" style="430" bestFit="1" customWidth="1"/>
    <col min="1811" max="1811" width="16.875" style="430" customWidth="1"/>
    <col min="1812" max="1812" width="6" style="430" bestFit="1" customWidth="1"/>
    <col min="1813" max="1813" width="11.125" style="430" bestFit="1" customWidth="1"/>
    <col min="1814" max="1814" width="16.875" style="430" customWidth="1"/>
    <col min="1815" max="1815" width="6" style="430" bestFit="1" customWidth="1"/>
    <col min="1816" max="1817" width="9.375" style="430"/>
    <col min="1818" max="1819" width="13.125" style="430" bestFit="1" customWidth="1"/>
    <col min="1820" max="1820" width="9.375" style="430"/>
    <col min="1821" max="1821" width="15.875" style="430" bestFit="1" customWidth="1"/>
    <col min="1822" max="1824" width="10.875" style="430" bestFit="1" customWidth="1"/>
    <col min="1825" max="2062" width="9.375" style="430"/>
    <col min="2063" max="2063" width="1.5" style="430" customWidth="1"/>
    <col min="2064" max="2064" width="56.625" style="430" bestFit="1" customWidth="1"/>
    <col min="2065" max="2065" width="5.375" style="430" customWidth="1"/>
    <col min="2066" max="2066" width="17" style="430" bestFit="1" customWidth="1"/>
    <col min="2067" max="2067" width="16.875" style="430" customWidth="1"/>
    <col min="2068" max="2068" width="6" style="430" bestFit="1" customWidth="1"/>
    <col min="2069" max="2069" width="11.125" style="430" bestFit="1" customWidth="1"/>
    <col min="2070" max="2070" width="16.875" style="430" customWidth="1"/>
    <col min="2071" max="2071" width="6" style="430" bestFit="1" customWidth="1"/>
    <col min="2072" max="2073" width="9.375" style="430"/>
    <col min="2074" max="2075" width="13.125" style="430" bestFit="1" customWidth="1"/>
    <col min="2076" max="2076" width="9.375" style="430"/>
    <col min="2077" max="2077" width="15.875" style="430" bestFit="1" customWidth="1"/>
    <col min="2078" max="2080" width="10.875" style="430" bestFit="1" customWidth="1"/>
    <col min="2081" max="2318" width="9.375" style="430"/>
    <col min="2319" max="2319" width="1.5" style="430" customWidth="1"/>
    <col min="2320" max="2320" width="56.625" style="430" bestFit="1" customWidth="1"/>
    <col min="2321" max="2321" width="5.375" style="430" customWidth="1"/>
    <col min="2322" max="2322" width="17" style="430" bestFit="1" customWidth="1"/>
    <col min="2323" max="2323" width="16.875" style="430" customWidth="1"/>
    <col min="2324" max="2324" width="6" style="430" bestFit="1" customWidth="1"/>
    <col min="2325" max="2325" width="11.125" style="430" bestFit="1" customWidth="1"/>
    <col min="2326" max="2326" width="16.875" style="430" customWidth="1"/>
    <col min="2327" max="2327" width="6" style="430" bestFit="1" customWidth="1"/>
    <col min="2328" max="2329" width="9.375" style="430"/>
    <col min="2330" max="2331" width="13.125" style="430" bestFit="1" customWidth="1"/>
    <col min="2332" max="2332" width="9.375" style="430"/>
    <col min="2333" max="2333" width="15.875" style="430" bestFit="1" customWidth="1"/>
    <col min="2334" max="2336" width="10.875" style="430" bestFit="1" customWidth="1"/>
    <col min="2337" max="2574" width="9.375" style="430"/>
    <col min="2575" max="2575" width="1.5" style="430" customWidth="1"/>
    <col min="2576" max="2576" width="56.625" style="430" bestFit="1" customWidth="1"/>
    <col min="2577" max="2577" width="5.375" style="430" customWidth="1"/>
    <col min="2578" max="2578" width="17" style="430" bestFit="1" customWidth="1"/>
    <col min="2579" max="2579" width="16.875" style="430" customWidth="1"/>
    <col min="2580" max="2580" width="6" style="430" bestFit="1" customWidth="1"/>
    <col min="2581" max="2581" width="11.125" style="430" bestFit="1" customWidth="1"/>
    <col min="2582" max="2582" width="16.875" style="430" customWidth="1"/>
    <col min="2583" max="2583" width="6" style="430" bestFit="1" customWidth="1"/>
    <col min="2584" max="2585" width="9.375" style="430"/>
    <col min="2586" max="2587" width="13.125" style="430" bestFit="1" customWidth="1"/>
    <col min="2588" max="2588" width="9.375" style="430"/>
    <col min="2589" max="2589" width="15.875" style="430" bestFit="1" customWidth="1"/>
    <col min="2590" max="2592" width="10.875" style="430" bestFit="1" customWidth="1"/>
    <col min="2593" max="2830" width="9.375" style="430"/>
    <col min="2831" max="2831" width="1.5" style="430" customWidth="1"/>
    <col min="2832" max="2832" width="56.625" style="430" bestFit="1" customWidth="1"/>
    <col min="2833" max="2833" width="5.375" style="430" customWidth="1"/>
    <col min="2834" max="2834" width="17" style="430" bestFit="1" customWidth="1"/>
    <col min="2835" max="2835" width="16.875" style="430" customWidth="1"/>
    <col min="2836" max="2836" width="6" style="430" bestFit="1" customWidth="1"/>
    <col min="2837" max="2837" width="11.125" style="430" bestFit="1" customWidth="1"/>
    <col min="2838" max="2838" width="16.875" style="430" customWidth="1"/>
    <col min="2839" max="2839" width="6" style="430" bestFit="1" customWidth="1"/>
    <col min="2840" max="2841" width="9.375" style="430"/>
    <col min="2842" max="2843" width="13.125" style="430" bestFit="1" customWidth="1"/>
    <col min="2844" max="2844" width="9.375" style="430"/>
    <col min="2845" max="2845" width="15.875" style="430" bestFit="1" customWidth="1"/>
    <col min="2846" max="2848" width="10.875" style="430" bestFit="1" customWidth="1"/>
    <col min="2849" max="3086" width="9.375" style="430"/>
    <col min="3087" max="3087" width="1.5" style="430" customWidth="1"/>
    <col min="3088" max="3088" width="56.625" style="430" bestFit="1" customWidth="1"/>
    <col min="3089" max="3089" width="5.375" style="430" customWidth="1"/>
    <col min="3090" max="3090" width="17" style="430" bestFit="1" customWidth="1"/>
    <col min="3091" max="3091" width="16.875" style="430" customWidth="1"/>
    <col min="3092" max="3092" width="6" style="430" bestFit="1" customWidth="1"/>
    <col min="3093" max="3093" width="11.125" style="430" bestFit="1" customWidth="1"/>
    <col min="3094" max="3094" width="16.875" style="430" customWidth="1"/>
    <col min="3095" max="3095" width="6" style="430" bestFit="1" customWidth="1"/>
    <col min="3096" max="3097" width="9.375" style="430"/>
    <col min="3098" max="3099" width="13.125" style="430" bestFit="1" customWidth="1"/>
    <col min="3100" max="3100" width="9.375" style="430"/>
    <col min="3101" max="3101" width="15.875" style="430" bestFit="1" customWidth="1"/>
    <col min="3102" max="3104" width="10.875" style="430" bestFit="1" customWidth="1"/>
    <col min="3105" max="3342" width="9.375" style="430"/>
    <col min="3343" max="3343" width="1.5" style="430" customWidth="1"/>
    <col min="3344" max="3344" width="56.625" style="430" bestFit="1" customWidth="1"/>
    <col min="3345" max="3345" width="5.375" style="430" customWidth="1"/>
    <col min="3346" max="3346" width="17" style="430" bestFit="1" customWidth="1"/>
    <col min="3347" max="3347" width="16.875" style="430" customWidth="1"/>
    <col min="3348" max="3348" width="6" style="430" bestFit="1" customWidth="1"/>
    <col min="3349" max="3349" width="11.125" style="430" bestFit="1" customWidth="1"/>
    <col min="3350" max="3350" width="16.875" style="430" customWidth="1"/>
    <col min="3351" max="3351" width="6" style="430" bestFit="1" customWidth="1"/>
    <col min="3352" max="3353" width="9.375" style="430"/>
    <col min="3354" max="3355" width="13.125" style="430" bestFit="1" customWidth="1"/>
    <col min="3356" max="3356" width="9.375" style="430"/>
    <col min="3357" max="3357" width="15.875" style="430" bestFit="1" customWidth="1"/>
    <col min="3358" max="3360" width="10.875" style="430" bestFit="1" customWidth="1"/>
    <col min="3361" max="3598" width="9.375" style="430"/>
    <col min="3599" max="3599" width="1.5" style="430" customWidth="1"/>
    <col min="3600" max="3600" width="56.625" style="430" bestFit="1" customWidth="1"/>
    <col min="3601" max="3601" width="5.375" style="430" customWidth="1"/>
    <col min="3602" max="3602" width="17" style="430" bestFit="1" customWidth="1"/>
    <col min="3603" max="3603" width="16.875" style="430" customWidth="1"/>
    <col min="3604" max="3604" width="6" style="430" bestFit="1" customWidth="1"/>
    <col min="3605" max="3605" width="11.125" style="430" bestFit="1" customWidth="1"/>
    <col min="3606" max="3606" width="16.875" style="430" customWidth="1"/>
    <col min="3607" max="3607" width="6" style="430" bestFit="1" customWidth="1"/>
    <col min="3608" max="3609" width="9.375" style="430"/>
    <col min="3610" max="3611" width="13.125" style="430" bestFit="1" customWidth="1"/>
    <col min="3612" max="3612" width="9.375" style="430"/>
    <col min="3613" max="3613" width="15.875" style="430" bestFit="1" customWidth="1"/>
    <col min="3614" max="3616" width="10.875" style="430" bestFit="1" customWidth="1"/>
    <col min="3617" max="3854" width="9.375" style="430"/>
    <col min="3855" max="3855" width="1.5" style="430" customWidth="1"/>
    <col min="3856" max="3856" width="56.625" style="430" bestFit="1" customWidth="1"/>
    <col min="3857" max="3857" width="5.375" style="430" customWidth="1"/>
    <col min="3858" max="3858" width="17" style="430" bestFit="1" customWidth="1"/>
    <col min="3859" max="3859" width="16.875" style="430" customWidth="1"/>
    <col min="3860" max="3860" width="6" style="430" bestFit="1" customWidth="1"/>
    <col min="3861" max="3861" width="11.125" style="430" bestFit="1" customWidth="1"/>
    <col min="3862" max="3862" width="16.875" style="430" customWidth="1"/>
    <col min="3863" max="3863" width="6" style="430" bestFit="1" customWidth="1"/>
    <col min="3864" max="3865" width="9.375" style="430"/>
    <col min="3866" max="3867" width="13.125" style="430" bestFit="1" customWidth="1"/>
    <col min="3868" max="3868" width="9.375" style="430"/>
    <col min="3869" max="3869" width="15.875" style="430" bestFit="1" customWidth="1"/>
    <col min="3870" max="3872" width="10.875" style="430" bestFit="1" customWidth="1"/>
    <col min="3873" max="4110" width="9.375" style="430"/>
    <col min="4111" max="4111" width="1.5" style="430" customWidth="1"/>
    <col min="4112" max="4112" width="56.625" style="430" bestFit="1" customWidth="1"/>
    <col min="4113" max="4113" width="5.375" style="430" customWidth="1"/>
    <col min="4114" max="4114" width="17" style="430" bestFit="1" customWidth="1"/>
    <col min="4115" max="4115" width="16.875" style="430" customWidth="1"/>
    <col min="4116" max="4116" width="6" style="430" bestFit="1" customWidth="1"/>
    <col min="4117" max="4117" width="11.125" style="430" bestFit="1" customWidth="1"/>
    <col min="4118" max="4118" width="16.875" style="430" customWidth="1"/>
    <col min="4119" max="4119" width="6" style="430" bestFit="1" customWidth="1"/>
    <col min="4120" max="4121" width="9.375" style="430"/>
    <col min="4122" max="4123" width="13.125" style="430" bestFit="1" customWidth="1"/>
    <col min="4124" max="4124" width="9.375" style="430"/>
    <col min="4125" max="4125" width="15.875" style="430" bestFit="1" customWidth="1"/>
    <col min="4126" max="4128" width="10.875" style="430" bestFit="1" customWidth="1"/>
    <col min="4129" max="4366" width="9.375" style="430"/>
    <col min="4367" max="4367" width="1.5" style="430" customWidth="1"/>
    <col min="4368" max="4368" width="56.625" style="430" bestFit="1" customWidth="1"/>
    <col min="4369" max="4369" width="5.375" style="430" customWidth="1"/>
    <col min="4370" max="4370" width="17" style="430" bestFit="1" customWidth="1"/>
    <col min="4371" max="4371" width="16.875" style="430" customWidth="1"/>
    <col min="4372" max="4372" width="6" style="430" bestFit="1" customWidth="1"/>
    <col min="4373" max="4373" width="11.125" style="430" bestFit="1" customWidth="1"/>
    <col min="4374" max="4374" width="16.875" style="430" customWidth="1"/>
    <col min="4375" max="4375" width="6" style="430" bestFit="1" customWidth="1"/>
    <col min="4376" max="4377" width="9.375" style="430"/>
    <col min="4378" max="4379" width="13.125" style="430" bestFit="1" customWidth="1"/>
    <col min="4380" max="4380" width="9.375" style="430"/>
    <col min="4381" max="4381" width="15.875" style="430" bestFit="1" customWidth="1"/>
    <col min="4382" max="4384" width="10.875" style="430" bestFit="1" customWidth="1"/>
    <col min="4385" max="4622" width="9.375" style="430"/>
    <col min="4623" max="4623" width="1.5" style="430" customWidth="1"/>
    <col min="4624" max="4624" width="56.625" style="430" bestFit="1" customWidth="1"/>
    <col min="4625" max="4625" width="5.375" style="430" customWidth="1"/>
    <col min="4626" max="4626" width="17" style="430" bestFit="1" customWidth="1"/>
    <col min="4627" max="4627" width="16.875" style="430" customWidth="1"/>
    <col min="4628" max="4628" width="6" style="430" bestFit="1" customWidth="1"/>
    <col min="4629" max="4629" width="11.125" style="430" bestFit="1" customWidth="1"/>
    <col min="4630" max="4630" width="16.875" style="430" customWidth="1"/>
    <col min="4631" max="4631" width="6" style="430" bestFit="1" customWidth="1"/>
    <col min="4632" max="4633" width="9.375" style="430"/>
    <col min="4634" max="4635" width="13.125" style="430" bestFit="1" customWidth="1"/>
    <col min="4636" max="4636" width="9.375" style="430"/>
    <col min="4637" max="4637" width="15.875" style="430" bestFit="1" customWidth="1"/>
    <col min="4638" max="4640" width="10.875" style="430" bestFit="1" customWidth="1"/>
    <col min="4641" max="4878" width="9.375" style="430"/>
    <col min="4879" max="4879" width="1.5" style="430" customWidth="1"/>
    <col min="4880" max="4880" width="56.625" style="430" bestFit="1" customWidth="1"/>
    <col min="4881" max="4881" width="5.375" style="430" customWidth="1"/>
    <col min="4882" max="4882" width="17" style="430" bestFit="1" customWidth="1"/>
    <col min="4883" max="4883" width="16.875" style="430" customWidth="1"/>
    <col min="4884" max="4884" width="6" style="430" bestFit="1" customWidth="1"/>
    <col min="4885" max="4885" width="11.125" style="430" bestFit="1" customWidth="1"/>
    <col min="4886" max="4886" width="16.875" style="430" customWidth="1"/>
    <col min="4887" max="4887" width="6" style="430" bestFit="1" customWidth="1"/>
    <col min="4888" max="4889" width="9.375" style="430"/>
    <col min="4890" max="4891" width="13.125" style="430" bestFit="1" customWidth="1"/>
    <col min="4892" max="4892" width="9.375" style="430"/>
    <col min="4893" max="4893" width="15.875" style="430" bestFit="1" customWidth="1"/>
    <col min="4894" max="4896" width="10.875" style="430" bestFit="1" customWidth="1"/>
    <col min="4897" max="5134" width="9.375" style="430"/>
    <col min="5135" max="5135" width="1.5" style="430" customWidth="1"/>
    <col min="5136" max="5136" width="56.625" style="430" bestFit="1" customWidth="1"/>
    <col min="5137" max="5137" width="5.375" style="430" customWidth="1"/>
    <col min="5138" max="5138" width="17" style="430" bestFit="1" customWidth="1"/>
    <col min="5139" max="5139" width="16.875" style="430" customWidth="1"/>
    <col min="5140" max="5140" width="6" style="430" bestFit="1" customWidth="1"/>
    <col min="5141" max="5141" width="11.125" style="430" bestFit="1" customWidth="1"/>
    <col min="5142" max="5142" width="16.875" style="430" customWidth="1"/>
    <col min="5143" max="5143" width="6" style="430" bestFit="1" customWidth="1"/>
    <col min="5144" max="5145" width="9.375" style="430"/>
    <col min="5146" max="5147" width="13.125" style="430" bestFit="1" customWidth="1"/>
    <col min="5148" max="5148" width="9.375" style="430"/>
    <col min="5149" max="5149" width="15.875" style="430" bestFit="1" customWidth="1"/>
    <col min="5150" max="5152" width="10.875" style="430" bestFit="1" customWidth="1"/>
    <col min="5153" max="5390" width="9.375" style="430"/>
    <col min="5391" max="5391" width="1.5" style="430" customWidth="1"/>
    <col min="5392" max="5392" width="56.625" style="430" bestFit="1" customWidth="1"/>
    <col min="5393" max="5393" width="5.375" style="430" customWidth="1"/>
    <col min="5394" max="5394" width="17" style="430" bestFit="1" customWidth="1"/>
    <col min="5395" max="5395" width="16.875" style="430" customWidth="1"/>
    <col min="5396" max="5396" width="6" style="430" bestFit="1" customWidth="1"/>
    <col min="5397" max="5397" width="11.125" style="430" bestFit="1" customWidth="1"/>
    <col min="5398" max="5398" width="16.875" style="430" customWidth="1"/>
    <col min="5399" max="5399" width="6" style="430" bestFit="1" customWidth="1"/>
    <col min="5400" max="5401" width="9.375" style="430"/>
    <col min="5402" max="5403" width="13.125" style="430" bestFit="1" customWidth="1"/>
    <col min="5404" max="5404" width="9.375" style="430"/>
    <col min="5405" max="5405" width="15.875" style="430" bestFit="1" customWidth="1"/>
    <col min="5406" max="5408" width="10.875" style="430" bestFit="1" customWidth="1"/>
    <col min="5409" max="5646" width="9.375" style="430"/>
    <col min="5647" max="5647" width="1.5" style="430" customWidth="1"/>
    <col min="5648" max="5648" width="56.625" style="430" bestFit="1" customWidth="1"/>
    <col min="5649" max="5649" width="5.375" style="430" customWidth="1"/>
    <col min="5650" max="5650" width="17" style="430" bestFit="1" customWidth="1"/>
    <col min="5651" max="5651" width="16.875" style="430" customWidth="1"/>
    <col min="5652" max="5652" width="6" style="430" bestFit="1" customWidth="1"/>
    <col min="5653" max="5653" width="11.125" style="430" bestFit="1" customWidth="1"/>
    <col min="5654" max="5654" width="16.875" style="430" customWidth="1"/>
    <col min="5655" max="5655" width="6" style="430" bestFit="1" customWidth="1"/>
    <col min="5656" max="5657" width="9.375" style="430"/>
    <col min="5658" max="5659" width="13.125" style="430" bestFit="1" customWidth="1"/>
    <col min="5660" max="5660" width="9.375" style="430"/>
    <col min="5661" max="5661" width="15.875" style="430" bestFit="1" customWidth="1"/>
    <col min="5662" max="5664" width="10.875" style="430" bestFit="1" customWidth="1"/>
    <col min="5665" max="5902" width="9.375" style="430"/>
    <col min="5903" max="5903" width="1.5" style="430" customWidth="1"/>
    <col min="5904" max="5904" width="56.625" style="430" bestFit="1" customWidth="1"/>
    <col min="5905" max="5905" width="5.375" style="430" customWidth="1"/>
    <col min="5906" max="5906" width="17" style="430" bestFit="1" customWidth="1"/>
    <col min="5907" max="5907" width="16.875" style="430" customWidth="1"/>
    <col min="5908" max="5908" width="6" style="430" bestFit="1" customWidth="1"/>
    <col min="5909" max="5909" width="11.125" style="430" bestFit="1" customWidth="1"/>
    <col min="5910" max="5910" width="16.875" style="430" customWidth="1"/>
    <col min="5911" max="5911" width="6" style="430" bestFit="1" customWidth="1"/>
    <col min="5912" max="5913" width="9.375" style="430"/>
    <col min="5914" max="5915" width="13.125" style="430" bestFit="1" customWidth="1"/>
    <col min="5916" max="5916" width="9.375" style="430"/>
    <col min="5917" max="5917" width="15.875" style="430" bestFit="1" customWidth="1"/>
    <col min="5918" max="5920" width="10.875" style="430" bestFit="1" customWidth="1"/>
    <col min="5921" max="6158" width="9.375" style="430"/>
    <col min="6159" max="6159" width="1.5" style="430" customWidth="1"/>
    <col min="6160" max="6160" width="56.625" style="430" bestFit="1" customWidth="1"/>
    <col min="6161" max="6161" width="5.375" style="430" customWidth="1"/>
    <col min="6162" max="6162" width="17" style="430" bestFit="1" customWidth="1"/>
    <col min="6163" max="6163" width="16.875" style="430" customWidth="1"/>
    <col min="6164" max="6164" width="6" style="430" bestFit="1" customWidth="1"/>
    <col min="6165" max="6165" width="11.125" style="430" bestFit="1" customWidth="1"/>
    <col min="6166" max="6166" width="16.875" style="430" customWidth="1"/>
    <col min="6167" max="6167" width="6" style="430" bestFit="1" customWidth="1"/>
    <col min="6168" max="6169" width="9.375" style="430"/>
    <col min="6170" max="6171" width="13.125" style="430" bestFit="1" customWidth="1"/>
    <col min="6172" max="6172" width="9.375" style="430"/>
    <col min="6173" max="6173" width="15.875" style="430" bestFit="1" customWidth="1"/>
    <col min="6174" max="6176" width="10.875" style="430" bestFit="1" customWidth="1"/>
    <col min="6177" max="6414" width="9.375" style="430"/>
    <col min="6415" max="6415" width="1.5" style="430" customWidth="1"/>
    <col min="6416" max="6416" width="56.625" style="430" bestFit="1" customWidth="1"/>
    <col min="6417" max="6417" width="5.375" style="430" customWidth="1"/>
    <col min="6418" max="6418" width="17" style="430" bestFit="1" customWidth="1"/>
    <col min="6419" max="6419" width="16.875" style="430" customWidth="1"/>
    <col min="6420" max="6420" width="6" style="430" bestFit="1" customWidth="1"/>
    <col min="6421" max="6421" width="11.125" style="430" bestFit="1" customWidth="1"/>
    <col min="6422" max="6422" width="16.875" style="430" customWidth="1"/>
    <col min="6423" max="6423" width="6" style="430" bestFit="1" customWidth="1"/>
    <col min="6424" max="6425" width="9.375" style="430"/>
    <col min="6426" max="6427" width="13.125" style="430" bestFit="1" customWidth="1"/>
    <col min="6428" max="6428" width="9.375" style="430"/>
    <col min="6429" max="6429" width="15.875" style="430" bestFit="1" customWidth="1"/>
    <col min="6430" max="6432" width="10.875" style="430" bestFit="1" customWidth="1"/>
    <col min="6433" max="6670" width="9.375" style="430"/>
    <col min="6671" max="6671" width="1.5" style="430" customWidth="1"/>
    <col min="6672" max="6672" width="56.625" style="430" bestFit="1" customWidth="1"/>
    <col min="6673" max="6673" width="5.375" style="430" customWidth="1"/>
    <col min="6674" max="6674" width="17" style="430" bestFit="1" customWidth="1"/>
    <col min="6675" max="6675" width="16.875" style="430" customWidth="1"/>
    <col min="6676" max="6676" width="6" style="430" bestFit="1" customWidth="1"/>
    <col min="6677" max="6677" width="11.125" style="430" bestFit="1" customWidth="1"/>
    <col min="6678" max="6678" width="16.875" style="430" customWidth="1"/>
    <col min="6679" max="6679" width="6" style="430" bestFit="1" customWidth="1"/>
    <col min="6680" max="6681" width="9.375" style="430"/>
    <col min="6682" max="6683" width="13.125" style="430" bestFit="1" customWidth="1"/>
    <col min="6684" max="6684" width="9.375" style="430"/>
    <col min="6685" max="6685" width="15.875" style="430" bestFit="1" customWidth="1"/>
    <col min="6686" max="6688" width="10.875" style="430" bestFit="1" customWidth="1"/>
    <col min="6689" max="6926" width="9.375" style="430"/>
    <col min="6927" max="6927" width="1.5" style="430" customWidth="1"/>
    <col min="6928" max="6928" width="56.625" style="430" bestFit="1" customWidth="1"/>
    <col min="6929" max="6929" width="5.375" style="430" customWidth="1"/>
    <col min="6930" max="6930" width="17" style="430" bestFit="1" customWidth="1"/>
    <col min="6931" max="6931" width="16.875" style="430" customWidth="1"/>
    <col min="6932" max="6932" width="6" style="430" bestFit="1" customWidth="1"/>
    <col min="6933" max="6933" width="11.125" style="430" bestFit="1" customWidth="1"/>
    <col min="6934" max="6934" width="16.875" style="430" customWidth="1"/>
    <col min="6935" max="6935" width="6" style="430" bestFit="1" customWidth="1"/>
    <col min="6936" max="6937" width="9.375" style="430"/>
    <col min="6938" max="6939" width="13.125" style="430" bestFit="1" customWidth="1"/>
    <col min="6940" max="6940" width="9.375" style="430"/>
    <col min="6941" max="6941" width="15.875" style="430" bestFit="1" customWidth="1"/>
    <col min="6942" max="6944" width="10.875" style="430" bestFit="1" customWidth="1"/>
    <col min="6945" max="7182" width="9.375" style="430"/>
    <col min="7183" max="7183" width="1.5" style="430" customWidth="1"/>
    <col min="7184" max="7184" width="56.625" style="430" bestFit="1" customWidth="1"/>
    <col min="7185" max="7185" width="5.375" style="430" customWidth="1"/>
    <col min="7186" max="7186" width="17" style="430" bestFit="1" customWidth="1"/>
    <col min="7187" max="7187" width="16.875" style="430" customWidth="1"/>
    <col min="7188" max="7188" width="6" style="430" bestFit="1" customWidth="1"/>
    <col min="7189" max="7189" width="11.125" style="430" bestFit="1" customWidth="1"/>
    <col min="7190" max="7190" width="16.875" style="430" customWidth="1"/>
    <col min="7191" max="7191" width="6" style="430" bestFit="1" customWidth="1"/>
    <col min="7192" max="7193" width="9.375" style="430"/>
    <col min="7194" max="7195" width="13.125" style="430" bestFit="1" customWidth="1"/>
    <col min="7196" max="7196" width="9.375" style="430"/>
    <col min="7197" max="7197" width="15.875" style="430" bestFit="1" customWidth="1"/>
    <col min="7198" max="7200" width="10.875" style="430" bestFit="1" customWidth="1"/>
    <col min="7201" max="7438" width="9.375" style="430"/>
    <col min="7439" max="7439" width="1.5" style="430" customWidth="1"/>
    <col min="7440" max="7440" width="56.625" style="430" bestFit="1" customWidth="1"/>
    <col min="7441" max="7441" width="5.375" style="430" customWidth="1"/>
    <col min="7442" max="7442" width="17" style="430" bestFit="1" customWidth="1"/>
    <col min="7443" max="7443" width="16.875" style="430" customWidth="1"/>
    <col min="7444" max="7444" width="6" style="430" bestFit="1" customWidth="1"/>
    <col min="7445" max="7445" width="11.125" style="430" bestFit="1" customWidth="1"/>
    <col min="7446" max="7446" width="16.875" style="430" customWidth="1"/>
    <col min="7447" max="7447" width="6" style="430" bestFit="1" customWidth="1"/>
    <col min="7448" max="7449" width="9.375" style="430"/>
    <col min="7450" max="7451" width="13.125" style="430" bestFit="1" customWidth="1"/>
    <col min="7452" max="7452" width="9.375" style="430"/>
    <col min="7453" max="7453" width="15.875" style="430" bestFit="1" customWidth="1"/>
    <col min="7454" max="7456" width="10.875" style="430" bestFit="1" customWidth="1"/>
    <col min="7457" max="7694" width="9.375" style="430"/>
    <col min="7695" max="7695" width="1.5" style="430" customWidth="1"/>
    <col min="7696" max="7696" width="56.625" style="430" bestFit="1" customWidth="1"/>
    <col min="7697" max="7697" width="5.375" style="430" customWidth="1"/>
    <col min="7698" max="7698" width="17" style="430" bestFit="1" customWidth="1"/>
    <col min="7699" max="7699" width="16.875" style="430" customWidth="1"/>
    <col min="7700" max="7700" width="6" style="430" bestFit="1" customWidth="1"/>
    <col min="7701" max="7701" width="11.125" style="430" bestFit="1" customWidth="1"/>
    <col min="7702" max="7702" width="16.875" style="430" customWidth="1"/>
    <col min="7703" max="7703" width="6" style="430" bestFit="1" customWidth="1"/>
    <col min="7704" max="7705" width="9.375" style="430"/>
    <col min="7706" max="7707" width="13.125" style="430" bestFit="1" customWidth="1"/>
    <col min="7708" max="7708" width="9.375" style="430"/>
    <col min="7709" max="7709" width="15.875" style="430" bestFit="1" customWidth="1"/>
    <col min="7710" max="7712" width="10.875" style="430" bestFit="1" customWidth="1"/>
    <col min="7713" max="7950" width="9.375" style="430"/>
    <col min="7951" max="7951" width="1.5" style="430" customWidth="1"/>
    <col min="7952" max="7952" width="56.625" style="430" bestFit="1" customWidth="1"/>
    <col min="7953" max="7953" width="5.375" style="430" customWidth="1"/>
    <col min="7954" max="7954" width="17" style="430" bestFit="1" customWidth="1"/>
    <col min="7955" max="7955" width="16.875" style="430" customWidth="1"/>
    <col min="7956" max="7956" width="6" style="430" bestFit="1" customWidth="1"/>
    <col min="7957" max="7957" width="11.125" style="430" bestFit="1" customWidth="1"/>
    <col min="7958" max="7958" width="16.875" style="430" customWidth="1"/>
    <col min="7959" max="7959" width="6" style="430" bestFit="1" customWidth="1"/>
    <col min="7960" max="7961" width="9.375" style="430"/>
    <col min="7962" max="7963" width="13.125" style="430" bestFit="1" customWidth="1"/>
    <col min="7964" max="7964" width="9.375" style="430"/>
    <col min="7965" max="7965" width="15.875" style="430" bestFit="1" customWidth="1"/>
    <col min="7966" max="7968" width="10.875" style="430" bestFit="1" customWidth="1"/>
    <col min="7969" max="8206" width="9.375" style="430"/>
    <col min="8207" max="8207" width="1.5" style="430" customWidth="1"/>
    <col min="8208" max="8208" width="56.625" style="430" bestFit="1" customWidth="1"/>
    <col min="8209" max="8209" width="5.375" style="430" customWidth="1"/>
    <col min="8210" max="8210" width="17" style="430" bestFit="1" customWidth="1"/>
    <col min="8211" max="8211" width="16.875" style="430" customWidth="1"/>
    <col min="8212" max="8212" width="6" style="430" bestFit="1" customWidth="1"/>
    <col min="8213" max="8213" width="11.125" style="430" bestFit="1" customWidth="1"/>
    <col min="8214" max="8214" width="16.875" style="430" customWidth="1"/>
    <col min="8215" max="8215" width="6" style="430" bestFit="1" customWidth="1"/>
    <col min="8216" max="8217" width="9.375" style="430"/>
    <col min="8218" max="8219" width="13.125" style="430" bestFit="1" customWidth="1"/>
    <col min="8220" max="8220" width="9.375" style="430"/>
    <col min="8221" max="8221" width="15.875" style="430" bestFit="1" customWidth="1"/>
    <col min="8222" max="8224" width="10.875" style="430" bestFit="1" customWidth="1"/>
    <col min="8225" max="8462" width="9.375" style="430"/>
    <col min="8463" max="8463" width="1.5" style="430" customWidth="1"/>
    <col min="8464" max="8464" width="56.625" style="430" bestFit="1" customWidth="1"/>
    <col min="8465" max="8465" width="5.375" style="430" customWidth="1"/>
    <col min="8466" max="8466" width="17" style="430" bestFit="1" customWidth="1"/>
    <col min="8467" max="8467" width="16.875" style="430" customWidth="1"/>
    <col min="8468" max="8468" width="6" style="430" bestFit="1" customWidth="1"/>
    <col min="8469" max="8469" width="11.125" style="430" bestFit="1" customWidth="1"/>
    <col min="8470" max="8470" width="16.875" style="430" customWidth="1"/>
    <col min="8471" max="8471" width="6" style="430" bestFit="1" customWidth="1"/>
    <col min="8472" max="8473" width="9.375" style="430"/>
    <col min="8474" max="8475" width="13.125" style="430" bestFit="1" customWidth="1"/>
    <col min="8476" max="8476" width="9.375" style="430"/>
    <col min="8477" max="8477" width="15.875" style="430" bestFit="1" customWidth="1"/>
    <col min="8478" max="8480" width="10.875" style="430" bestFit="1" customWidth="1"/>
    <col min="8481" max="8718" width="9.375" style="430"/>
    <col min="8719" max="8719" width="1.5" style="430" customWidth="1"/>
    <col min="8720" max="8720" width="56.625" style="430" bestFit="1" customWidth="1"/>
    <col min="8721" max="8721" width="5.375" style="430" customWidth="1"/>
    <col min="8722" max="8722" width="17" style="430" bestFit="1" customWidth="1"/>
    <col min="8723" max="8723" width="16.875" style="430" customWidth="1"/>
    <col min="8724" max="8724" width="6" style="430" bestFit="1" customWidth="1"/>
    <col min="8725" max="8725" width="11.125" style="430" bestFit="1" customWidth="1"/>
    <col min="8726" max="8726" width="16.875" style="430" customWidth="1"/>
    <col min="8727" max="8727" width="6" style="430" bestFit="1" customWidth="1"/>
    <col min="8728" max="8729" width="9.375" style="430"/>
    <col min="8730" max="8731" width="13.125" style="430" bestFit="1" customWidth="1"/>
    <col min="8732" max="8732" width="9.375" style="430"/>
    <col min="8733" max="8733" width="15.875" style="430" bestFit="1" customWidth="1"/>
    <col min="8734" max="8736" width="10.875" style="430" bestFit="1" customWidth="1"/>
    <col min="8737" max="8974" width="9.375" style="430"/>
    <col min="8975" max="8975" width="1.5" style="430" customWidth="1"/>
    <col min="8976" max="8976" width="56.625" style="430" bestFit="1" customWidth="1"/>
    <col min="8977" max="8977" width="5.375" style="430" customWidth="1"/>
    <col min="8978" max="8978" width="17" style="430" bestFit="1" customWidth="1"/>
    <col min="8979" max="8979" width="16.875" style="430" customWidth="1"/>
    <col min="8980" max="8980" width="6" style="430" bestFit="1" customWidth="1"/>
    <col min="8981" max="8981" width="11.125" style="430" bestFit="1" customWidth="1"/>
    <col min="8982" max="8982" width="16.875" style="430" customWidth="1"/>
    <col min="8983" max="8983" width="6" style="430" bestFit="1" customWidth="1"/>
    <col min="8984" max="8985" width="9.375" style="430"/>
    <col min="8986" max="8987" width="13.125" style="430" bestFit="1" customWidth="1"/>
    <col min="8988" max="8988" width="9.375" style="430"/>
    <col min="8989" max="8989" width="15.875" style="430" bestFit="1" customWidth="1"/>
    <col min="8990" max="8992" width="10.875" style="430" bestFit="1" customWidth="1"/>
    <col min="8993" max="9230" width="9.375" style="430"/>
    <col min="9231" max="9231" width="1.5" style="430" customWidth="1"/>
    <col min="9232" max="9232" width="56.625" style="430" bestFit="1" customWidth="1"/>
    <col min="9233" max="9233" width="5.375" style="430" customWidth="1"/>
    <col min="9234" max="9234" width="17" style="430" bestFit="1" customWidth="1"/>
    <col min="9235" max="9235" width="16.875" style="430" customWidth="1"/>
    <col min="9236" max="9236" width="6" style="430" bestFit="1" customWidth="1"/>
    <col min="9237" max="9237" width="11.125" style="430" bestFit="1" customWidth="1"/>
    <col min="9238" max="9238" width="16.875" style="430" customWidth="1"/>
    <col min="9239" max="9239" width="6" style="430" bestFit="1" customWidth="1"/>
    <col min="9240" max="9241" width="9.375" style="430"/>
    <col min="9242" max="9243" width="13.125" style="430" bestFit="1" customWidth="1"/>
    <col min="9244" max="9244" width="9.375" style="430"/>
    <col min="9245" max="9245" width="15.875" style="430" bestFit="1" customWidth="1"/>
    <col min="9246" max="9248" width="10.875" style="430" bestFit="1" customWidth="1"/>
    <col min="9249" max="9486" width="9.375" style="430"/>
    <col min="9487" max="9487" width="1.5" style="430" customWidth="1"/>
    <col min="9488" max="9488" width="56.625" style="430" bestFit="1" customWidth="1"/>
    <col min="9489" max="9489" width="5.375" style="430" customWidth="1"/>
    <col min="9490" max="9490" width="17" style="430" bestFit="1" customWidth="1"/>
    <col min="9491" max="9491" width="16.875" style="430" customWidth="1"/>
    <col min="9492" max="9492" width="6" style="430" bestFit="1" customWidth="1"/>
    <col min="9493" max="9493" width="11.125" style="430" bestFit="1" customWidth="1"/>
    <col min="9494" max="9494" width="16.875" style="430" customWidth="1"/>
    <col min="9495" max="9495" width="6" style="430" bestFit="1" customWidth="1"/>
    <col min="9496" max="9497" width="9.375" style="430"/>
    <col min="9498" max="9499" width="13.125" style="430" bestFit="1" customWidth="1"/>
    <col min="9500" max="9500" width="9.375" style="430"/>
    <col min="9501" max="9501" width="15.875" style="430" bestFit="1" customWidth="1"/>
    <col min="9502" max="9504" width="10.875" style="430" bestFit="1" customWidth="1"/>
    <col min="9505" max="9742" width="9.375" style="430"/>
    <col min="9743" max="9743" width="1.5" style="430" customWidth="1"/>
    <col min="9744" max="9744" width="56.625" style="430" bestFit="1" customWidth="1"/>
    <col min="9745" max="9745" width="5.375" style="430" customWidth="1"/>
    <col min="9746" max="9746" width="17" style="430" bestFit="1" customWidth="1"/>
    <col min="9747" max="9747" width="16.875" style="430" customWidth="1"/>
    <col min="9748" max="9748" width="6" style="430" bestFit="1" customWidth="1"/>
    <col min="9749" max="9749" width="11.125" style="430" bestFit="1" customWidth="1"/>
    <col min="9750" max="9750" width="16.875" style="430" customWidth="1"/>
    <col min="9751" max="9751" width="6" style="430" bestFit="1" customWidth="1"/>
    <col min="9752" max="9753" width="9.375" style="430"/>
    <col min="9754" max="9755" width="13.125" style="430" bestFit="1" customWidth="1"/>
    <col min="9756" max="9756" width="9.375" style="430"/>
    <col min="9757" max="9757" width="15.875" style="430" bestFit="1" customWidth="1"/>
    <col min="9758" max="9760" width="10.875" style="430" bestFit="1" customWidth="1"/>
    <col min="9761" max="9998" width="9.375" style="430"/>
    <col min="9999" max="9999" width="1.5" style="430" customWidth="1"/>
    <col min="10000" max="10000" width="56.625" style="430" bestFit="1" customWidth="1"/>
    <col min="10001" max="10001" width="5.375" style="430" customWidth="1"/>
    <col min="10002" max="10002" width="17" style="430" bestFit="1" customWidth="1"/>
    <col min="10003" max="10003" width="16.875" style="430" customWidth="1"/>
    <col min="10004" max="10004" width="6" style="430" bestFit="1" customWidth="1"/>
    <col min="10005" max="10005" width="11.125" style="430" bestFit="1" customWidth="1"/>
    <col min="10006" max="10006" width="16.875" style="430" customWidth="1"/>
    <col min="10007" max="10007" width="6" style="430" bestFit="1" customWidth="1"/>
    <col min="10008" max="10009" width="9.375" style="430"/>
    <col min="10010" max="10011" width="13.125" style="430" bestFit="1" customWidth="1"/>
    <col min="10012" max="10012" width="9.375" style="430"/>
    <col min="10013" max="10013" width="15.875" style="430" bestFit="1" customWidth="1"/>
    <col min="10014" max="10016" width="10.875" style="430" bestFit="1" customWidth="1"/>
    <col min="10017" max="10254" width="9.375" style="430"/>
    <col min="10255" max="10255" width="1.5" style="430" customWidth="1"/>
    <col min="10256" max="10256" width="56.625" style="430" bestFit="1" customWidth="1"/>
    <col min="10257" max="10257" width="5.375" style="430" customWidth="1"/>
    <col min="10258" max="10258" width="17" style="430" bestFit="1" customWidth="1"/>
    <col min="10259" max="10259" width="16.875" style="430" customWidth="1"/>
    <col min="10260" max="10260" width="6" style="430" bestFit="1" customWidth="1"/>
    <col min="10261" max="10261" width="11.125" style="430" bestFit="1" customWidth="1"/>
    <col min="10262" max="10262" width="16.875" style="430" customWidth="1"/>
    <col min="10263" max="10263" width="6" style="430" bestFit="1" customWidth="1"/>
    <col min="10264" max="10265" width="9.375" style="430"/>
    <col min="10266" max="10267" width="13.125" style="430" bestFit="1" customWidth="1"/>
    <col min="10268" max="10268" width="9.375" style="430"/>
    <col min="10269" max="10269" width="15.875" style="430" bestFit="1" customWidth="1"/>
    <col min="10270" max="10272" width="10.875" style="430" bestFit="1" customWidth="1"/>
    <col min="10273" max="10510" width="9.375" style="430"/>
    <col min="10511" max="10511" width="1.5" style="430" customWidth="1"/>
    <col min="10512" max="10512" width="56.625" style="430" bestFit="1" customWidth="1"/>
    <col min="10513" max="10513" width="5.375" style="430" customWidth="1"/>
    <col min="10514" max="10514" width="17" style="430" bestFit="1" customWidth="1"/>
    <col min="10515" max="10515" width="16.875" style="430" customWidth="1"/>
    <col min="10516" max="10516" width="6" style="430" bestFit="1" customWidth="1"/>
    <col min="10517" max="10517" width="11.125" style="430" bestFit="1" customWidth="1"/>
    <col min="10518" max="10518" width="16.875" style="430" customWidth="1"/>
    <col min="10519" max="10519" width="6" style="430" bestFit="1" customWidth="1"/>
    <col min="10520" max="10521" width="9.375" style="430"/>
    <col min="10522" max="10523" width="13.125" style="430" bestFit="1" customWidth="1"/>
    <col min="10524" max="10524" width="9.375" style="430"/>
    <col min="10525" max="10525" width="15.875" style="430" bestFit="1" customWidth="1"/>
    <col min="10526" max="10528" width="10.875" style="430" bestFit="1" customWidth="1"/>
    <col min="10529" max="10766" width="9.375" style="430"/>
    <col min="10767" max="10767" width="1.5" style="430" customWidth="1"/>
    <col min="10768" max="10768" width="56.625" style="430" bestFit="1" customWidth="1"/>
    <col min="10769" max="10769" width="5.375" style="430" customWidth="1"/>
    <col min="10770" max="10770" width="17" style="430" bestFit="1" customWidth="1"/>
    <col min="10771" max="10771" width="16.875" style="430" customWidth="1"/>
    <col min="10772" max="10772" width="6" style="430" bestFit="1" customWidth="1"/>
    <col min="10773" max="10773" width="11.125" style="430" bestFit="1" customWidth="1"/>
    <col min="10774" max="10774" width="16.875" style="430" customWidth="1"/>
    <col min="10775" max="10775" width="6" style="430" bestFit="1" customWidth="1"/>
    <col min="10776" max="10777" width="9.375" style="430"/>
    <col min="10778" max="10779" width="13.125" style="430" bestFit="1" customWidth="1"/>
    <col min="10780" max="10780" width="9.375" style="430"/>
    <col min="10781" max="10781" width="15.875" style="430" bestFit="1" customWidth="1"/>
    <col min="10782" max="10784" width="10.875" style="430" bestFit="1" customWidth="1"/>
    <col min="10785" max="11022" width="9.375" style="430"/>
    <col min="11023" max="11023" width="1.5" style="430" customWidth="1"/>
    <col min="11024" max="11024" width="56.625" style="430" bestFit="1" customWidth="1"/>
    <col min="11025" max="11025" width="5.375" style="430" customWidth="1"/>
    <col min="11026" max="11026" width="17" style="430" bestFit="1" customWidth="1"/>
    <col min="11027" max="11027" width="16.875" style="430" customWidth="1"/>
    <col min="11028" max="11028" width="6" style="430" bestFit="1" customWidth="1"/>
    <col min="11029" max="11029" width="11.125" style="430" bestFit="1" customWidth="1"/>
    <col min="11030" max="11030" width="16.875" style="430" customWidth="1"/>
    <col min="11031" max="11031" width="6" style="430" bestFit="1" customWidth="1"/>
    <col min="11032" max="11033" width="9.375" style="430"/>
    <col min="11034" max="11035" width="13.125" style="430" bestFit="1" customWidth="1"/>
    <col min="11036" max="11036" width="9.375" style="430"/>
    <col min="11037" max="11037" width="15.875" style="430" bestFit="1" customWidth="1"/>
    <col min="11038" max="11040" width="10.875" style="430" bestFit="1" customWidth="1"/>
    <col min="11041" max="11278" width="9.375" style="430"/>
    <col min="11279" max="11279" width="1.5" style="430" customWidth="1"/>
    <col min="11280" max="11280" width="56.625" style="430" bestFit="1" customWidth="1"/>
    <col min="11281" max="11281" width="5.375" style="430" customWidth="1"/>
    <col min="11282" max="11282" width="17" style="430" bestFit="1" customWidth="1"/>
    <col min="11283" max="11283" width="16.875" style="430" customWidth="1"/>
    <col min="11284" max="11284" width="6" style="430" bestFit="1" customWidth="1"/>
    <col min="11285" max="11285" width="11.125" style="430" bestFit="1" customWidth="1"/>
    <col min="11286" max="11286" width="16.875" style="430" customWidth="1"/>
    <col min="11287" max="11287" width="6" style="430" bestFit="1" customWidth="1"/>
    <col min="11288" max="11289" width="9.375" style="430"/>
    <col min="11290" max="11291" width="13.125" style="430" bestFit="1" customWidth="1"/>
    <col min="11292" max="11292" width="9.375" style="430"/>
    <col min="11293" max="11293" width="15.875" style="430" bestFit="1" customWidth="1"/>
    <col min="11294" max="11296" width="10.875" style="430" bestFit="1" customWidth="1"/>
    <col min="11297" max="11534" width="9.375" style="430"/>
    <col min="11535" max="11535" width="1.5" style="430" customWidth="1"/>
    <col min="11536" max="11536" width="56.625" style="430" bestFit="1" customWidth="1"/>
    <col min="11537" max="11537" width="5.375" style="430" customWidth="1"/>
    <col min="11538" max="11538" width="17" style="430" bestFit="1" customWidth="1"/>
    <col min="11539" max="11539" width="16.875" style="430" customWidth="1"/>
    <col min="11540" max="11540" width="6" style="430" bestFit="1" customWidth="1"/>
    <col min="11541" max="11541" width="11.125" style="430" bestFit="1" customWidth="1"/>
    <col min="11542" max="11542" width="16.875" style="430" customWidth="1"/>
    <col min="11543" max="11543" width="6" style="430" bestFit="1" customWidth="1"/>
    <col min="11544" max="11545" width="9.375" style="430"/>
    <col min="11546" max="11547" width="13.125" style="430" bestFit="1" customWidth="1"/>
    <col min="11548" max="11548" width="9.375" style="430"/>
    <col min="11549" max="11549" width="15.875" style="430" bestFit="1" customWidth="1"/>
    <col min="11550" max="11552" width="10.875" style="430" bestFit="1" customWidth="1"/>
    <col min="11553" max="11790" width="9.375" style="430"/>
    <col min="11791" max="11791" width="1.5" style="430" customWidth="1"/>
    <col min="11792" max="11792" width="56.625" style="430" bestFit="1" customWidth="1"/>
    <col min="11793" max="11793" width="5.375" style="430" customWidth="1"/>
    <col min="11794" max="11794" width="17" style="430" bestFit="1" customWidth="1"/>
    <col min="11795" max="11795" width="16.875" style="430" customWidth="1"/>
    <col min="11796" max="11796" width="6" style="430" bestFit="1" customWidth="1"/>
    <col min="11797" max="11797" width="11.125" style="430" bestFit="1" customWidth="1"/>
    <col min="11798" max="11798" width="16.875" style="430" customWidth="1"/>
    <col min="11799" max="11799" width="6" style="430" bestFit="1" customWidth="1"/>
    <col min="11800" max="11801" width="9.375" style="430"/>
    <col min="11802" max="11803" width="13.125" style="430" bestFit="1" customWidth="1"/>
    <col min="11804" max="11804" width="9.375" style="430"/>
    <col min="11805" max="11805" width="15.875" style="430" bestFit="1" customWidth="1"/>
    <col min="11806" max="11808" width="10.875" style="430" bestFit="1" customWidth="1"/>
    <col min="11809" max="12046" width="9.375" style="430"/>
    <col min="12047" max="12047" width="1.5" style="430" customWidth="1"/>
    <col min="12048" max="12048" width="56.625" style="430" bestFit="1" customWidth="1"/>
    <col min="12049" max="12049" width="5.375" style="430" customWidth="1"/>
    <col min="12050" max="12050" width="17" style="430" bestFit="1" customWidth="1"/>
    <col min="12051" max="12051" width="16.875" style="430" customWidth="1"/>
    <col min="12052" max="12052" width="6" style="430" bestFit="1" customWidth="1"/>
    <col min="12053" max="12053" width="11.125" style="430" bestFit="1" customWidth="1"/>
    <col min="12054" max="12054" width="16.875" style="430" customWidth="1"/>
    <col min="12055" max="12055" width="6" style="430" bestFit="1" customWidth="1"/>
    <col min="12056" max="12057" width="9.375" style="430"/>
    <col min="12058" max="12059" width="13.125" style="430" bestFit="1" customWidth="1"/>
    <col min="12060" max="12060" width="9.375" style="430"/>
    <col min="12061" max="12061" width="15.875" style="430" bestFit="1" customWidth="1"/>
    <col min="12062" max="12064" width="10.875" style="430" bestFit="1" customWidth="1"/>
    <col min="12065" max="12302" width="9.375" style="430"/>
    <col min="12303" max="12303" width="1.5" style="430" customWidth="1"/>
    <col min="12304" max="12304" width="56.625" style="430" bestFit="1" customWidth="1"/>
    <col min="12305" max="12305" width="5.375" style="430" customWidth="1"/>
    <col min="12306" max="12306" width="17" style="430" bestFit="1" customWidth="1"/>
    <col min="12307" max="12307" width="16.875" style="430" customWidth="1"/>
    <col min="12308" max="12308" width="6" style="430" bestFit="1" customWidth="1"/>
    <col min="12309" max="12309" width="11.125" style="430" bestFit="1" customWidth="1"/>
    <col min="12310" max="12310" width="16.875" style="430" customWidth="1"/>
    <col min="12311" max="12311" width="6" style="430" bestFit="1" customWidth="1"/>
    <col min="12312" max="12313" width="9.375" style="430"/>
    <col min="12314" max="12315" width="13.125" style="430" bestFit="1" customWidth="1"/>
    <col min="12316" max="12316" width="9.375" style="430"/>
    <col min="12317" max="12317" width="15.875" style="430" bestFit="1" customWidth="1"/>
    <col min="12318" max="12320" width="10.875" style="430" bestFit="1" customWidth="1"/>
    <col min="12321" max="12558" width="9.375" style="430"/>
    <col min="12559" max="12559" width="1.5" style="430" customWidth="1"/>
    <col min="12560" max="12560" width="56.625" style="430" bestFit="1" customWidth="1"/>
    <col min="12561" max="12561" width="5.375" style="430" customWidth="1"/>
    <col min="12562" max="12562" width="17" style="430" bestFit="1" customWidth="1"/>
    <col min="12563" max="12563" width="16.875" style="430" customWidth="1"/>
    <col min="12564" max="12564" width="6" style="430" bestFit="1" customWidth="1"/>
    <col min="12565" max="12565" width="11.125" style="430" bestFit="1" customWidth="1"/>
    <col min="12566" max="12566" width="16.875" style="430" customWidth="1"/>
    <col min="12567" max="12567" width="6" style="430" bestFit="1" customWidth="1"/>
    <col min="12568" max="12569" width="9.375" style="430"/>
    <col min="12570" max="12571" width="13.125" style="430" bestFit="1" customWidth="1"/>
    <col min="12572" max="12572" width="9.375" style="430"/>
    <col min="12573" max="12573" width="15.875" style="430" bestFit="1" customWidth="1"/>
    <col min="12574" max="12576" width="10.875" style="430" bestFit="1" customWidth="1"/>
    <col min="12577" max="12814" width="9.375" style="430"/>
    <col min="12815" max="12815" width="1.5" style="430" customWidth="1"/>
    <col min="12816" max="12816" width="56.625" style="430" bestFit="1" customWidth="1"/>
    <col min="12817" max="12817" width="5.375" style="430" customWidth="1"/>
    <col min="12818" max="12818" width="17" style="430" bestFit="1" customWidth="1"/>
    <col min="12819" max="12819" width="16.875" style="430" customWidth="1"/>
    <col min="12820" max="12820" width="6" style="430" bestFit="1" customWidth="1"/>
    <col min="12821" max="12821" width="11.125" style="430" bestFit="1" customWidth="1"/>
    <col min="12822" max="12822" width="16.875" style="430" customWidth="1"/>
    <col min="12823" max="12823" width="6" style="430" bestFit="1" customWidth="1"/>
    <col min="12824" max="12825" width="9.375" style="430"/>
    <col min="12826" max="12827" width="13.125" style="430" bestFit="1" customWidth="1"/>
    <col min="12828" max="12828" width="9.375" style="430"/>
    <col min="12829" max="12829" width="15.875" style="430" bestFit="1" customWidth="1"/>
    <col min="12830" max="12832" width="10.875" style="430" bestFit="1" customWidth="1"/>
    <col min="12833" max="13070" width="9.375" style="430"/>
    <col min="13071" max="13071" width="1.5" style="430" customWidth="1"/>
    <col min="13072" max="13072" width="56.625" style="430" bestFit="1" customWidth="1"/>
    <col min="13073" max="13073" width="5.375" style="430" customWidth="1"/>
    <col min="13074" max="13074" width="17" style="430" bestFit="1" customWidth="1"/>
    <col min="13075" max="13075" width="16.875" style="430" customWidth="1"/>
    <col min="13076" max="13076" width="6" style="430" bestFit="1" customWidth="1"/>
    <col min="13077" max="13077" width="11.125" style="430" bestFit="1" customWidth="1"/>
    <col min="13078" max="13078" width="16.875" style="430" customWidth="1"/>
    <col min="13079" max="13079" width="6" style="430" bestFit="1" customWidth="1"/>
    <col min="13080" max="13081" width="9.375" style="430"/>
    <col min="13082" max="13083" width="13.125" style="430" bestFit="1" customWidth="1"/>
    <col min="13084" max="13084" width="9.375" style="430"/>
    <col min="13085" max="13085" width="15.875" style="430" bestFit="1" customWidth="1"/>
    <col min="13086" max="13088" width="10.875" style="430" bestFit="1" customWidth="1"/>
    <col min="13089" max="13326" width="9.375" style="430"/>
    <col min="13327" max="13327" width="1.5" style="430" customWidth="1"/>
    <col min="13328" max="13328" width="56.625" style="430" bestFit="1" customWidth="1"/>
    <col min="13329" max="13329" width="5.375" style="430" customWidth="1"/>
    <col min="13330" max="13330" width="17" style="430" bestFit="1" customWidth="1"/>
    <col min="13331" max="13331" width="16.875" style="430" customWidth="1"/>
    <col min="13332" max="13332" width="6" style="430" bestFit="1" customWidth="1"/>
    <col min="13333" max="13333" width="11.125" style="430" bestFit="1" customWidth="1"/>
    <col min="13334" max="13334" width="16.875" style="430" customWidth="1"/>
    <col min="13335" max="13335" width="6" style="430" bestFit="1" customWidth="1"/>
    <col min="13336" max="13337" width="9.375" style="430"/>
    <col min="13338" max="13339" width="13.125" style="430" bestFit="1" customWidth="1"/>
    <col min="13340" max="13340" width="9.375" style="430"/>
    <col min="13341" max="13341" width="15.875" style="430" bestFit="1" customWidth="1"/>
    <col min="13342" max="13344" width="10.875" style="430" bestFit="1" customWidth="1"/>
    <col min="13345" max="13582" width="9.375" style="430"/>
    <col min="13583" max="13583" width="1.5" style="430" customWidth="1"/>
    <col min="13584" max="13584" width="56.625" style="430" bestFit="1" customWidth="1"/>
    <col min="13585" max="13585" width="5.375" style="430" customWidth="1"/>
    <col min="13586" max="13586" width="17" style="430" bestFit="1" customWidth="1"/>
    <col min="13587" max="13587" width="16.875" style="430" customWidth="1"/>
    <col min="13588" max="13588" width="6" style="430" bestFit="1" customWidth="1"/>
    <col min="13589" max="13589" width="11.125" style="430" bestFit="1" customWidth="1"/>
    <col min="13590" max="13590" width="16.875" style="430" customWidth="1"/>
    <col min="13591" max="13591" width="6" style="430" bestFit="1" customWidth="1"/>
    <col min="13592" max="13593" width="9.375" style="430"/>
    <col min="13594" max="13595" width="13.125" style="430" bestFit="1" customWidth="1"/>
    <col min="13596" max="13596" width="9.375" style="430"/>
    <col min="13597" max="13597" width="15.875" style="430" bestFit="1" customWidth="1"/>
    <col min="13598" max="13600" width="10.875" style="430" bestFit="1" customWidth="1"/>
    <col min="13601" max="13838" width="9.375" style="430"/>
    <col min="13839" max="13839" width="1.5" style="430" customWidth="1"/>
    <col min="13840" max="13840" width="56.625" style="430" bestFit="1" customWidth="1"/>
    <col min="13841" max="13841" width="5.375" style="430" customWidth="1"/>
    <col min="13842" max="13842" width="17" style="430" bestFit="1" customWidth="1"/>
    <col min="13843" max="13843" width="16.875" style="430" customWidth="1"/>
    <col min="13844" max="13844" width="6" style="430" bestFit="1" customWidth="1"/>
    <col min="13845" max="13845" width="11.125" style="430" bestFit="1" customWidth="1"/>
    <col min="13846" max="13846" width="16.875" style="430" customWidth="1"/>
    <col min="13847" max="13847" width="6" style="430" bestFit="1" customWidth="1"/>
    <col min="13848" max="13849" width="9.375" style="430"/>
    <col min="13850" max="13851" width="13.125" style="430" bestFit="1" customWidth="1"/>
    <col min="13852" max="13852" width="9.375" style="430"/>
    <col min="13853" max="13853" width="15.875" style="430" bestFit="1" customWidth="1"/>
    <col min="13854" max="13856" width="10.875" style="430" bestFit="1" customWidth="1"/>
    <col min="13857" max="14094" width="9.375" style="430"/>
    <col min="14095" max="14095" width="1.5" style="430" customWidth="1"/>
    <col min="14096" max="14096" width="56.625" style="430" bestFit="1" customWidth="1"/>
    <col min="14097" max="14097" width="5.375" style="430" customWidth="1"/>
    <col min="14098" max="14098" width="17" style="430" bestFit="1" customWidth="1"/>
    <col min="14099" max="14099" width="16.875" style="430" customWidth="1"/>
    <col min="14100" max="14100" width="6" style="430" bestFit="1" customWidth="1"/>
    <col min="14101" max="14101" width="11.125" style="430" bestFit="1" customWidth="1"/>
    <col min="14102" max="14102" width="16.875" style="430" customWidth="1"/>
    <col min="14103" max="14103" width="6" style="430" bestFit="1" customWidth="1"/>
    <col min="14104" max="14105" width="9.375" style="430"/>
    <col min="14106" max="14107" width="13.125" style="430" bestFit="1" customWidth="1"/>
    <col min="14108" max="14108" width="9.375" style="430"/>
    <col min="14109" max="14109" width="15.875" style="430" bestFit="1" customWidth="1"/>
    <col min="14110" max="14112" width="10.875" style="430" bestFit="1" customWidth="1"/>
    <col min="14113" max="14350" width="9.375" style="430"/>
    <col min="14351" max="14351" width="1.5" style="430" customWidth="1"/>
    <col min="14352" max="14352" width="56.625" style="430" bestFit="1" customWidth="1"/>
    <col min="14353" max="14353" width="5.375" style="430" customWidth="1"/>
    <col min="14354" max="14354" width="17" style="430" bestFit="1" customWidth="1"/>
    <col min="14355" max="14355" width="16.875" style="430" customWidth="1"/>
    <col min="14356" max="14356" width="6" style="430" bestFit="1" customWidth="1"/>
    <col min="14357" max="14357" width="11.125" style="430" bestFit="1" customWidth="1"/>
    <col min="14358" max="14358" width="16.875" style="430" customWidth="1"/>
    <col min="14359" max="14359" width="6" style="430" bestFit="1" customWidth="1"/>
    <col min="14360" max="14361" width="9.375" style="430"/>
    <col min="14362" max="14363" width="13.125" style="430" bestFit="1" customWidth="1"/>
    <col min="14364" max="14364" width="9.375" style="430"/>
    <col min="14365" max="14365" width="15.875" style="430" bestFit="1" customWidth="1"/>
    <col min="14366" max="14368" width="10.875" style="430" bestFit="1" customWidth="1"/>
    <col min="14369" max="14606" width="9.375" style="430"/>
    <col min="14607" max="14607" width="1.5" style="430" customWidth="1"/>
    <col min="14608" max="14608" width="56.625" style="430" bestFit="1" customWidth="1"/>
    <col min="14609" max="14609" width="5.375" style="430" customWidth="1"/>
    <col min="14610" max="14610" width="17" style="430" bestFit="1" customWidth="1"/>
    <col min="14611" max="14611" width="16.875" style="430" customWidth="1"/>
    <col min="14612" max="14612" width="6" style="430" bestFit="1" customWidth="1"/>
    <col min="14613" max="14613" width="11.125" style="430" bestFit="1" customWidth="1"/>
    <col min="14614" max="14614" width="16.875" style="430" customWidth="1"/>
    <col min="14615" max="14615" width="6" style="430" bestFit="1" customWidth="1"/>
    <col min="14616" max="14617" width="9.375" style="430"/>
    <col min="14618" max="14619" width="13.125" style="430" bestFit="1" customWidth="1"/>
    <col min="14620" max="14620" width="9.375" style="430"/>
    <col min="14621" max="14621" width="15.875" style="430" bestFit="1" customWidth="1"/>
    <col min="14622" max="14624" width="10.875" style="430" bestFit="1" customWidth="1"/>
    <col min="14625" max="14862" width="9.375" style="430"/>
    <col min="14863" max="14863" width="1.5" style="430" customWidth="1"/>
    <col min="14864" max="14864" width="56.625" style="430" bestFit="1" customWidth="1"/>
    <col min="14865" max="14865" width="5.375" style="430" customWidth="1"/>
    <col min="14866" max="14866" width="17" style="430" bestFit="1" customWidth="1"/>
    <col min="14867" max="14867" width="16.875" style="430" customWidth="1"/>
    <col min="14868" max="14868" width="6" style="430" bestFit="1" customWidth="1"/>
    <col min="14869" max="14869" width="11.125" style="430" bestFit="1" customWidth="1"/>
    <col min="14870" max="14870" width="16.875" style="430" customWidth="1"/>
    <col min="14871" max="14871" width="6" style="430" bestFit="1" customWidth="1"/>
    <col min="14872" max="14873" width="9.375" style="430"/>
    <col min="14874" max="14875" width="13.125" style="430" bestFit="1" customWidth="1"/>
    <col min="14876" max="14876" width="9.375" style="430"/>
    <col min="14877" max="14877" width="15.875" style="430" bestFit="1" customWidth="1"/>
    <col min="14878" max="14880" width="10.875" style="430" bestFit="1" customWidth="1"/>
    <col min="14881" max="15118" width="9.375" style="430"/>
    <col min="15119" max="15119" width="1.5" style="430" customWidth="1"/>
    <col min="15120" max="15120" width="56.625" style="430" bestFit="1" customWidth="1"/>
    <col min="15121" max="15121" width="5.375" style="430" customWidth="1"/>
    <col min="15122" max="15122" width="17" style="430" bestFit="1" customWidth="1"/>
    <col min="15123" max="15123" width="16.875" style="430" customWidth="1"/>
    <col min="15124" max="15124" width="6" style="430" bestFit="1" customWidth="1"/>
    <col min="15125" max="15125" width="11.125" style="430" bestFit="1" customWidth="1"/>
    <col min="15126" max="15126" width="16.875" style="430" customWidth="1"/>
    <col min="15127" max="15127" width="6" style="430" bestFit="1" customWidth="1"/>
    <col min="15128" max="15129" width="9.375" style="430"/>
    <col min="15130" max="15131" width="13.125" style="430" bestFit="1" customWidth="1"/>
    <col min="15132" max="15132" width="9.375" style="430"/>
    <col min="15133" max="15133" width="15.875" style="430" bestFit="1" customWidth="1"/>
    <col min="15134" max="15136" width="10.875" style="430" bestFit="1" customWidth="1"/>
    <col min="15137" max="15374" width="9.375" style="430"/>
    <col min="15375" max="15375" width="1.5" style="430" customWidth="1"/>
    <col min="15376" max="15376" width="56.625" style="430" bestFit="1" customWidth="1"/>
    <col min="15377" max="15377" width="5.375" style="430" customWidth="1"/>
    <col min="15378" max="15378" width="17" style="430" bestFit="1" customWidth="1"/>
    <col min="15379" max="15379" width="16.875" style="430" customWidth="1"/>
    <col min="15380" max="15380" width="6" style="430" bestFit="1" customWidth="1"/>
    <col min="15381" max="15381" width="11.125" style="430" bestFit="1" customWidth="1"/>
    <col min="15382" max="15382" width="16.875" style="430" customWidth="1"/>
    <col min="15383" max="15383" width="6" style="430" bestFit="1" customWidth="1"/>
    <col min="15384" max="15385" width="9.375" style="430"/>
    <col min="15386" max="15387" width="13.125" style="430" bestFit="1" customWidth="1"/>
    <col min="15388" max="15388" width="9.375" style="430"/>
    <col min="15389" max="15389" width="15.875" style="430" bestFit="1" customWidth="1"/>
    <col min="15390" max="15392" width="10.875" style="430" bestFit="1" customWidth="1"/>
    <col min="15393" max="15630" width="9.375" style="430"/>
    <col min="15631" max="15631" width="1.5" style="430" customWidth="1"/>
    <col min="15632" max="15632" width="56.625" style="430" bestFit="1" customWidth="1"/>
    <col min="15633" max="15633" width="5.375" style="430" customWidth="1"/>
    <col min="15634" max="15634" width="17" style="430" bestFit="1" customWidth="1"/>
    <col min="15635" max="15635" width="16.875" style="430" customWidth="1"/>
    <col min="15636" max="15636" width="6" style="430" bestFit="1" customWidth="1"/>
    <col min="15637" max="15637" width="11.125" style="430" bestFit="1" customWidth="1"/>
    <col min="15638" max="15638" width="16.875" style="430" customWidth="1"/>
    <col min="15639" max="15639" width="6" style="430" bestFit="1" customWidth="1"/>
    <col min="15640" max="15641" width="9.375" style="430"/>
    <col min="15642" max="15643" width="13.125" style="430" bestFit="1" customWidth="1"/>
    <col min="15644" max="15644" width="9.375" style="430"/>
    <col min="15645" max="15645" width="15.875" style="430" bestFit="1" customWidth="1"/>
    <col min="15646" max="15648" width="10.875" style="430" bestFit="1" customWidth="1"/>
    <col min="15649" max="15886" width="9.375" style="430"/>
    <col min="15887" max="15887" width="1.5" style="430" customWidth="1"/>
    <col min="15888" max="15888" width="56.625" style="430" bestFit="1" customWidth="1"/>
    <col min="15889" max="15889" width="5.375" style="430" customWidth="1"/>
    <col min="15890" max="15890" width="17" style="430" bestFit="1" customWidth="1"/>
    <col min="15891" max="15891" width="16.875" style="430" customWidth="1"/>
    <col min="15892" max="15892" width="6" style="430" bestFit="1" customWidth="1"/>
    <col min="15893" max="15893" width="11.125" style="430" bestFit="1" customWidth="1"/>
    <col min="15894" max="15894" width="16.875" style="430" customWidth="1"/>
    <col min="15895" max="15895" width="6" style="430" bestFit="1" customWidth="1"/>
    <col min="15896" max="15897" width="9.375" style="430"/>
    <col min="15898" max="15899" width="13.125" style="430" bestFit="1" customWidth="1"/>
    <col min="15900" max="15900" width="9.375" style="430"/>
    <col min="15901" max="15901" width="15.875" style="430" bestFit="1" customWidth="1"/>
    <col min="15902" max="15904" width="10.875" style="430" bestFit="1" customWidth="1"/>
    <col min="15905" max="16142" width="9.375" style="430"/>
    <col min="16143" max="16143" width="1.5" style="430" customWidth="1"/>
    <col min="16144" max="16144" width="56.625" style="430" bestFit="1" customWidth="1"/>
    <col min="16145" max="16145" width="5.375" style="430" customWidth="1"/>
    <col min="16146" max="16146" width="17" style="430" bestFit="1" customWidth="1"/>
    <col min="16147" max="16147" width="16.875" style="430" customWidth="1"/>
    <col min="16148" max="16148" width="6" style="430" bestFit="1" customWidth="1"/>
    <col min="16149" max="16149" width="11.125" style="430" bestFit="1" customWidth="1"/>
    <col min="16150" max="16150" width="16.875" style="430" customWidth="1"/>
    <col min="16151" max="16151" width="6" style="430" bestFit="1" customWidth="1"/>
    <col min="16152" max="16153" width="9.375" style="430"/>
    <col min="16154" max="16155" width="13.125" style="430" bestFit="1" customWidth="1"/>
    <col min="16156" max="16156" width="9.375" style="430"/>
    <col min="16157" max="16157" width="15.875" style="430" bestFit="1" customWidth="1"/>
    <col min="16158" max="16160" width="10.875" style="430" bestFit="1" customWidth="1"/>
    <col min="16161" max="16384" width="9.375" style="430"/>
  </cols>
  <sheetData>
    <row r="2" spans="3:25">
      <c r="F2" s="543"/>
      <c r="H2" s="544"/>
      <c r="I2" s="545"/>
    </row>
    <row r="3" spans="3:25">
      <c r="C3" s="484" t="s">
        <v>592</v>
      </c>
      <c r="D3" s="845" t="s">
        <v>2005</v>
      </c>
      <c r="E3" s="548"/>
      <c r="F3" s="549"/>
      <c r="G3" s="550"/>
      <c r="H3" s="548"/>
      <c r="I3" s="551"/>
      <c r="K3" s="552"/>
    </row>
    <row r="4" spans="3:25" ht="21.95" customHeight="1">
      <c r="D4" s="546"/>
      <c r="E4" s="546"/>
      <c r="F4" s="546"/>
      <c r="G4" s="546"/>
      <c r="H4" s="546"/>
      <c r="I4" s="546"/>
      <c r="S4" s="540" t="s">
        <v>606</v>
      </c>
      <c r="T4" s="540"/>
      <c r="U4" s="540"/>
      <c r="V4" s="540"/>
    </row>
    <row r="5" spans="3:25" ht="16.7" customHeight="1">
      <c r="C5" s="1273" t="s">
        <v>601</v>
      </c>
      <c r="D5" s="1272" t="s">
        <v>2004</v>
      </c>
      <c r="E5" s="1274"/>
      <c r="F5" s="1275" t="s">
        <v>594</v>
      </c>
      <c r="G5" s="1272" t="s">
        <v>2011</v>
      </c>
      <c r="H5" s="1274"/>
      <c r="I5" s="1276" t="s">
        <v>594</v>
      </c>
      <c r="K5" s="1272" t="s">
        <v>593</v>
      </c>
      <c r="L5" s="1272"/>
      <c r="M5" s="1272"/>
      <c r="O5" s="708" t="s">
        <v>2006</v>
      </c>
      <c r="P5" s="708" t="s">
        <v>2007</v>
      </c>
      <c r="Q5" s="708"/>
    </row>
    <row r="6" spans="3:25">
      <c r="C6" s="1273"/>
      <c r="D6" s="553" t="s">
        <v>521</v>
      </c>
      <c r="E6" s="553" t="s">
        <v>522</v>
      </c>
      <c r="F6" s="1275"/>
      <c r="G6" s="553" t="s">
        <v>521</v>
      </c>
      <c r="H6" s="553" t="s">
        <v>522</v>
      </c>
      <c r="I6" s="1276"/>
      <c r="K6" s="553" t="s">
        <v>521</v>
      </c>
      <c r="L6" s="553" t="s">
        <v>522</v>
      </c>
      <c r="M6" s="553" t="s">
        <v>596</v>
      </c>
      <c r="O6" s="446" t="s">
        <v>216</v>
      </c>
      <c r="P6" s="446" t="s">
        <v>216</v>
      </c>
      <c r="Q6" s="446" t="s">
        <v>596</v>
      </c>
    </row>
    <row r="7" spans="3:25" ht="18.95" customHeight="1">
      <c r="C7" s="430" t="s">
        <v>575</v>
      </c>
      <c r="D7" s="542">
        <f>+'YTD Q1''23 Cons. vs Q1''22'!I8-'YTD Sep Cons. vs PY V2'!D7</f>
        <v>13196987.434299998</v>
      </c>
      <c r="E7" s="542">
        <f>+'YTD Q1''23 Cons. vs Q1''22'!J8-'YTD Sep Cons. vs PY V2'!E7</f>
        <v>3908559.2774632573</v>
      </c>
      <c r="F7" s="542"/>
      <c r="G7" s="542">
        <f>+'YTD Q1''23 Cons. vs Q1''22'!L8-'YTD Sep Cons. vs PY V2'!G7</f>
        <v>12164960.550863713</v>
      </c>
      <c r="H7" s="542">
        <f>+'YTD Q1''23 Cons. vs Q1''22'!M8-'YTD Sep Cons. vs PY V2'!H7</f>
        <v>3654869.8663861919</v>
      </c>
      <c r="I7" s="556"/>
      <c r="K7" s="555">
        <f t="shared" ref="K7:K25" si="0">D7-G7</f>
        <v>1032026.883436285</v>
      </c>
      <c r="L7" s="555">
        <f t="shared" ref="L7:L25" si="1">E7-H7</f>
        <v>253689.41107706539</v>
      </c>
      <c r="M7" s="556">
        <f>L7/H7</f>
        <v>6.941133893992911E-2</v>
      </c>
      <c r="O7" s="556"/>
      <c r="P7" s="556"/>
      <c r="Q7" s="556"/>
      <c r="Y7" s="430">
        <f>R7/E7</f>
        <v>0</v>
      </c>
    </row>
    <row r="8" spans="3:25" ht="18.95" customHeight="1">
      <c r="C8" s="522" t="s">
        <v>576</v>
      </c>
      <c r="D8" s="841">
        <f>+'YTD Q1''23 Cons. vs Q1''22'!I9-'YTD Sep Cons. vs PY V2'!D8</f>
        <v>45241.839000000007</v>
      </c>
      <c r="E8" s="841">
        <f>+'YTD Q1''23 Cons. vs Q1''22'!J9-'YTD Sep Cons. vs PY V2'!E8</f>
        <v>13171.549850491319</v>
      </c>
      <c r="F8" s="841"/>
      <c r="G8" s="841">
        <f>+'YTD Q1''23 Cons. vs Q1''22'!L9-'YTD Sep Cons. vs PY V2'!G8</f>
        <v>55991.47600000001</v>
      </c>
      <c r="H8" s="841">
        <f>+'YTD Q1''23 Cons. vs Q1''22'!M9-'YTD Sep Cons. vs PY V2'!H8</f>
        <v>16837.040830688282</v>
      </c>
      <c r="I8" s="560"/>
      <c r="J8" s="561"/>
      <c r="K8" s="559">
        <f t="shared" si="0"/>
        <v>-10749.637000000002</v>
      </c>
      <c r="L8" s="559">
        <f t="shared" si="1"/>
        <v>-3665.4909801969625</v>
      </c>
      <c r="M8" s="560">
        <f>L8/H8</f>
        <v>-0.21770399068677204</v>
      </c>
      <c r="N8" s="561"/>
      <c r="O8" s="560"/>
      <c r="P8" s="560"/>
      <c r="Q8" s="560"/>
      <c r="R8" s="522"/>
      <c r="S8" s="522"/>
      <c r="T8" s="523"/>
      <c r="U8" s="522"/>
      <c r="V8" s="522"/>
    </row>
    <row r="9" spans="3:25" ht="68.099999999999994" customHeight="1">
      <c r="C9" s="521" t="s">
        <v>577</v>
      </c>
      <c r="D9" s="562">
        <f>SUM(D7:D8)</f>
        <v>13242229.273299998</v>
      </c>
      <c r="E9" s="562">
        <f>SUM(E7:E8)</f>
        <v>3921730.8273137487</v>
      </c>
      <c r="F9" s="563"/>
      <c r="G9" s="562">
        <f>SUM(G7:G8)</f>
        <v>12220952.026863713</v>
      </c>
      <c r="H9" s="562">
        <f>SUM(H7:H8)</f>
        <v>3671706.90721688</v>
      </c>
      <c r="I9" s="564"/>
      <c r="J9" s="561"/>
      <c r="K9" s="562">
        <f t="shared" si="0"/>
        <v>1021277.2464362849</v>
      </c>
      <c r="L9" s="562">
        <f t="shared" si="1"/>
        <v>250023.92009686865</v>
      </c>
      <c r="M9" s="564">
        <f>L9/H9</f>
        <v>6.8094738064587101E-2</v>
      </c>
      <c r="N9" s="561"/>
      <c r="O9" s="843">
        <f>'FY22 Fcst'!E8*1000</f>
        <v>5671792.3411089657</v>
      </c>
      <c r="P9" s="843">
        <f>E9-O9</f>
        <v>-1750061.513795217</v>
      </c>
      <c r="Q9" s="564">
        <f>P9/O9</f>
        <v>-0.30855528703172513</v>
      </c>
      <c r="R9" s="522"/>
      <c r="S9" s="524">
        <f>M9</f>
        <v>6.8094738064587101E-2</v>
      </c>
      <c r="T9" s="523"/>
      <c r="U9" s="524"/>
      <c r="V9" s="616" t="s">
        <v>2207</v>
      </c>
      <c r="Y9" s="430">
        <f>R9/H9</f>
        <v>0</v>
      </c>
    </row>
    <row r="10" spans="3:25" ht="18.95" customHeight="1">
      <c r="C10" s="430" t="s">
        <v>573</v>
      </c>
      <c r="D10" s="542">
        <f>+'YTD Q1''23 Cons. vs Q1''22'!I11-'YTD Sep Cons. vs PY V2'!D10</f>
        <v>300173.10336666135</v>
      </c>
      <c r="E10" s="542">
        <f>+'YTD Q1''23 Cons. vs Q1''22'!J11-'YTD Sep Cons. vs PY V2'!E10</f>
        <v>86438.01495656051</v>
      </c>
      <c r="F10" s="554">
        <f>+E10/$E$9</f>
        <v>2.2040782185902236E-2</v>
      </c>
      <c r="G10" s="542">
        <f>+'YTD Q1''23 Cons. vs Q1''22'!L11-'YTD Sep Cons. vs PY V2'!G10</f>
        <v>-1514631.5156700476</v>
      </c>
      <c r="H10" s="542">
        <f>+'YTD Q1''23 Cons. vs Q1''22'!M11-'YTD Sep Cons. vs PY V2'!H10</f>
        <v>-458507.03834035998</v>
      </c>
      <c r="I10" s="554">
        <f>+H10/$H$9</f>
        <v>-0.12487571854908869</v>
      </c>
      <c r="K10" s="555">
        <f t="shared" si="0"/>
        <v>1814804.619036709</v>
      </c>
      <c r="L10" s="555">
        <f t="shared" si="1"/>
        <v>544945.05329692049</v>
      </c>
      <c r="M10" s="554">
        <f>L10/H10</f>
        <v>-1.1885205846990634</v>
      </c>
      <c r="O10" s="554"/>
      <c r="P10" s="554"/>
      <c r="Q10" s="554"/>
    </row>
    <row r="11" spans="3:25" ht="18.95" customHeight="1">
      <c r="C11" s="430" t="s">
        <v>572</v>
      </c>
      <c r="D11" s="542">
        <f>+'YTD Q1''23 Cons. vs Q1''22'!I12-'YTD Sep Cons. vs PY V2'!D11</f>
        <v>-8643813.5439999998</v>
      </c>
      <c r="E11" s="542">
        <f>+'YTD Q1''23 Cons. vs Q1''22'!J12-'YTD Sep Cons. vs PY V2'!E11</f>
        <v>-2558783.0178947113</v>
      </c>
      <c r="F11" s="554">
        <f>+E11/$E$9</f>
        <v>-0.65246268307694899</v>
      </c>
      <c r="G11" s="542">
        <f>+'YTD Q1''23 Cons. vs Q1''22'!L12-'YTD Sep Cons. vs PY V2'!G11</f>
        <v>-6325229.1160335056</v>
      </c>
      <c r="H11" s="542">
        <f>+'YTD Q1''23 Cons. vs Q1''22'!M12-'YTD Sep Cons. vs PY V2'!H11</f>
        <v>-1898347.8946616109</v>
      </c>
      <c r="I11" s="554">
        <f>+H11/$H$9</f>
        <v>-0.51702054184399515</v>
      </c>
      <c r="K11" s="555">
        <f t="shared" si="0"/>
        <v>-2318584.4279664941</v>
      </c>
      <c r="L11" s="555">
        <f t="shared" si="1"/>
        <v>-660435.1232331004</v>
      </c>
      <c r="M11" s="554">
        <f>-L11/H11</f>
        <v>-0.34789994241325611</v>
      </c>
      <c r="O11" s="554"/>
      <c r="P11" s="554"/>
      <c r="Q11" s="554"/>
    </row>
    <row r="12" spans="3:25" s="434" customFormat="1" ht="93" customHeight="1">
      <c r="C12" s="527" t="s">
        <v>574</v>
      </c>
      <c r="D12" s="565">
        <f>+D9+SUM(D10:D11)</f>
        <v>4898588.8326666597</v>
      </c>
      <c r="E12" s="565">
        <f>+E9+SUM(E10:E11)</f>
        <v>1449385.8243755978</v>
      </c>
      <c r="F12" s="566">
        <f>+E12/E9</f>
        <v>0.36957809910895323</v>
      </c>
      <c r="G12" s="565">
        <f>+G9+SUM(G10:G11)</f>
        <v>4381091.3951601591</v>
      </c>
      <c r="H12" s="565">
        <f>+H9+SUM(H10:H11)</f>
        <v>1314851.9742149091</v>
      </c>
      <c r="I12" s="568">
        <f>+H12/H9</f>
        <v>0.35810373960691616</v>
      </c>
      <c r="J12" s="569"/>
      <c r="K12" s="565">
        <f t="shared" si="0"/>
        <v>517497.43750650063</v>
      </c>
      <c r="L12" s="567">
        <f t="shared" si="1"/>
        <v>134533.85016068863</v>
      </c>
      <c r="M12" s="568">
        <f>L12/H12</f>
        <v>0.10231862810337874</v>
      </c>
      <c r="N12" s="569"/>
      <c r="O12" s="568"/>
      <c r="P12" s="568"/>
      <c r="Q12" s="568"/>
      <c r="R12" s="529"/>
      <c r="S12" s="946">
        <f>F12-I12</f>
        <v>1.1474359502037068E-2</v>
      </c>
      <c r="T12" s="531"/>
      <c r="U12" s="532">
        <f>L11+L10</f>
        <v>-115490.06993617991</v>
      </c>
      <c r="V12" s="539"/>
      <c r="W12" s="431"/>
      <c r="X12" s="430"/>
    </row>
    <row r="13" spans="3:25" ht="18.95" customHeight="1">
      <c r="C13" s="430" t="s">
        <v>578</v>
      </c>
      <c r="D13" s="542">
        <f>+'YTD Q1''23 Cons. vs Q1''22'!I14-'YTD Sep Cons. vs PY V2'!D13</f>
        <v>-1811285.2259999998</v>
      </c>
      <c r="E13" s="542">
        <f>+'YTD Q1''23 Cons. vs Q1''22'!J14-'YTD Sep Cons. vs PY V2'!E13</f>
        <v>-538576.44734913204</v>
      </c>
      <c r="F13" s="554">
        <f>+E13/$E$9</f>
        <v>-0.13733131391835948</v>
      </c>
      <c r="G13" s="542">
        <f>+'YTD Q1''23 Cons. vs Q1''22'!L14-'YTD Sep Cons. vs PY V2'!G13</f>
        <v>-1288413.3609999996</v>
      </c>
      <c r="H13" s="542">
        <f>+'YTD Q1''23 Cons. vs Q1''22'!M14-'YTD Sep Cons. vs PY V2'!H13</f>
        <v>-387356.08894408238</v>
      </c>
      <c r="I13" s="556">
        <f>+H13/$H$9</f>
        <v>-0.10549755161086502</v>
      </c>
      <c r="K13" s="542">
        <f t="shared" si="0"/>
        <v>-522871.86500000022</v>
      </c>
      <c r="L13" s="542">
        <f t="shared" si="1"/>
        <v>-151220.35840504966</v>
      </c>
      <c r="M13" s="554">
        <f t="shared" ref="M13:M15" si="2">-L13/H13</f>
        <v>-0.39039107095817305</v>
      </c>
      <c r="O13" s="554"/>
      <c r="P13" s="554"/>
      <c r="Q13" s="554"/>
    </row>
    <row r="14" spans="3:25" ht="18.95" customHeight="1">
      <c r="C14" s="430" t="s">
        <v>579</v>
      </c>
      <c r="D14" s="542">
        <f>+'YTD Q1''23 Cons. vs Q1''22'!I15-'YTD Sep Cons. vs PY V2'!D14</f>
        <v>-1698710.4350000015</v>
      </c>
      <c r="E14" s="542">
        <f>+'YTD Q1''23 Cons. vs Q1''22'!J15-'YTD Sep Cons. vs PY V2'!E14</f>
        <v>-510525.93975021911</v>
      </c>
      <c r="F14" s="554">
        <f>+E14/$E$9</f>
        <v>-0.13017873031839666</v>
      </c>
      <c r="G14" s="542">
        <f>+'YTD Q1''23 Cons. vs Q1''22'!L15-'YTD Sep Cons. vs PY V2'!G14</f>
        <v>-925996.46477499977</v>
      </c>
      <c r="H14" s="542">
        <f>+'YTD Q1''23 Cons. vs Q1''22'!M15-'YTD Sep Cons. vs PY V2'!H14</f>
        <v>-278164.0270857648</v>
      </c>
      <c r="I14" s="556">
        <f>+H14/$H$9</f>
        <v>-7.5758777624385751E-2</v>
      </c>
      <c r="K14" s="542">
        <f t="shared" si="0"/>
        <v>-772713.97022500169</v>
      </c>
      <c r="L14" s="542">
        <f t="shared" si="1"/>
        <v>-232361.91266445431</v>
      </c>
      <c r="M14" s="554">
        <f t="shared" si="2"/>
        <v>-0.83534134553211448</v>
      </c>
      <c r="O14" s="554"/>
      <c r="P14" s="554"/>
      <c r="Q14" s="554"/>
    </row>
    <row r="15" spans="3:25" ht="18.95" customHeight="1">
      <c r="C15" s="430" t="s">
        <v>2018</v>
      </c>
      <c r="D15" s="542">
        <f>+'YTD Q1''23 Cons. vs Q1''22'!I16-'YTD Sep Cons. vs PY V2'!D15</f>
        <v>-133780.88800000001</v>
      </c>
      <c r="E15" s="542">
        <f>+'YTD Q1''23 Cons. vs Q1''22'!J16-'YTD Sep Cons. vs PY V2'!E15</f>
        <v>-40534.7276629033</v>
      </c>
      <c r="F15" s="554">
        <f>+E15/$H$9</f>
        <v>-1.1039750363306709E-2</v>
      </c>
      <c r="G15" s="542">
        <f>+'YTD Q1''23 Cons. vs Q1''22'!L16-'YTD Sep Cons. vs PY V2'!G15</f>
        <v>153856.55041563686</v>
      </c>
      <c r="H15" s="542">
        <f>+'YTD Q1''23 Cons. vs Q1''22'!M16-'YTD Sep Cons. vs PY V2'!H15</f>
        <v>47495.407805314229</v>
      </c>
      <c r="I15" s="556">
        <f>+H15/$H$9</f>
        <v>1.2935511740318976E-2</v>
      </c>
      <c r="K15" s="542">
        <f t="shared" si="0"/>
        <v>-287637.43841563689</v>
      </c>
      <c r="L15" s="542">
        <f t="shared" si="1"/>
        <v>-88030.13546821753</v>
      </c>
      <c r="M15" s="554">
        <f t="shared" si="2"/>
        <v>1.85344519682949</v>
      </c>
      <c r="O15" s="554"/>
      <c r="P15" s="554"/>
      <c r="Q15" s="554"/>
    </row>
    <row r="16" spans="3:25" ht="18.95" customHeight="1">
      <c r="C16" s="485" t="s">
        <v>595</v>
      </c>
      <c r="D16" s="571">
        <f>SUM(D10:D15)-D12</f>
        <v>-11987416.98963334</v>
      </c>
      <c r="E16" s="571">
        <f>SUM(E10:E15)-E12</f>
        <v>-3561982.1177004054</v>
      </c>
      <c r="F16" s="572">
        <f>E16/E9</f>
        <v>-0.90826787317788493</v>
      </c>
      <c r="G16" s="571">
        <f>SUM(G10:G15)-G12</f>
        <v>-9900413.9070629161</v>
      </c>
      <c r="H16" s="571">
        <f>SUM(H10:H15)-H12</f>
        <v>-2974879.641226504</v>
      </c>
      <c r="I16" s="573">
        <f>H16/H9</f>
        <v>-0.81021707788801567</v>
      </c>
      <c r="K16" s="571">
        <f t="shared" si="0"/>
        <v>-2087003.0825704243</v>
      </c>
      <c r="L16" s="571">
        <f t="shared" si="1"/>
        <v>-587102.47647390142</v>
      </c>
      <c r="M16" s="573">
        <f>-L16/H16</f>
        <v>-0.19735335451482222</v>
      </c>
      <c r="O16" s="573"/>
      <c r="P16" s="573"/>
      <c r="Q16" s="573"/>
    </row>
    <row r="17" spans="3:32" s="434" customFormat="1">
      <c r="C17" s="533" t="s">
        <v>5</v>
      </c>
      <c r="D17" s="574">
        <f>SUM(D9+D16)</f>
        <v>1254812.2836666573</v>
      </c>
      <c r="E17" s="574">
        <f>SUM(E9+E16)</f>
        <v>359748.70961334324</v>
      </c>
      <c r="F17" s="575">
        <f>+E17/$E$9</f>
        <v>9.1732126822115123E-2</v>
      </c>
      <c r="G17" s="574">
        <f>SUM(G9+G16)</f>
        <v>2320538.1198007967</v>
      </c>
      <c r="H17" s="574">
        <f>SUM(H9+H16)</f>
        <v>696827.26599037601</v>
      </c>
      <c r="I17" s="577">
        <f>+H17/$H$9</f>
        <v>0.18978292211198433</v>
      </c>
      <c r="J17" s="569"/>
      <c r="K17" s="574">
        <f>D17-G17</f>
        <v>-1065725.8361341394</v>
      </c>
      <c r="L17" s="576">
        <f>E17-H17</f>
        <v>-337078.55637703277</v>
      </c>
      <c r="M17" s="577">
        <f>L17/H17</f>
        <v>-0.48373330497903938</v>
      </c>
      <c r="N17" s="569"/>
      <c r="O17" s="844">
        <f>'FY22 Fcst'!E15*1000</f>
        <v>1014457.51894372</v>
      </c>
      <c r="P17" s="574">
        <f>E17-O17</f>
        <v>-654708.8093303768</v>
      </c>
      <c r="Q17" s="577">
        <f>P17/O17</f>
        <v>-0.64537824118261444</v>
      </c>
      <c r="R17" s="529"/>
      <c r="S17" s="530">
        <f>F17-I17</f>
        <v>-9.8050795289869208E-2</v>
      </c>
      <c r="T17" s="536">
        <f>S17-S12</f>
        <v>-0.10952515479190628</v>
      </c>
      <c r="U17" s="532">
        <f>L13+L14+L15</f>
        <v>-471612.40653772152</v>
      </c>
      <c r="V17" s="617"/>
      <c r="W17" s="443"/>
      <c r="X17" s="430"/>
      <c r="Y17" s="430"/>
      <c r="Z17" s="430"/>
      <c r="AA17" s="430"/>
      <c r="AB17" s="430"/>
      <c r="AC17" s="430"/>
      <c r="AD17" s="430"/>
      <c r="AE17" s="430"/>
      <c r="AF17" s="430"/>
    </row>
    <row r="18" spans="3:32" ht="18.95" customHeight="1">
      <c r="C18" s="430" t="s">
        <v>580</v>
      </c>
      <c r="D18" s="542">
        <f>+'YTD Q1''23 Cons. vs Q1''22'!I19-'YTD Sep Cons. vs PY V2'!D18</f>
        <v>-635682.87901025591</v>
      </c>
      <c r="E18" s="542">
        <f>+'YTD Q1''23 Cons. vs Q1''22'!J19-'YTD Sep Cons. vs PY V2'!E18</f>
        <v>-187259.1687115971</v>
      </c>
      <c r="F18" s="554">
        <f>+E18/$E$9</f>
        <v>-4.7749113072062421E-2</v>
      </c>
      <c r="G18" s="542">
        <f>+'YTD Q1''23 Cons. vs Q1''22'!L19-'YTD Sep Cons. vs PY V2'!G18</f>
        <v>-522598.9163189258</v>
      </c>
      <c r="H18" s="542">
        <f>+'YTD Q1''23 Cons. vs Q1''22'!M19-'YTD Sep Cons. vs PY V2'!H18</f>
        <v>-156456.51606830803</v>
      </c>
      <c r="I18" s="556">
        <f>+H18/$H$9</f>
        <v>-4.2611384846864213E-2</v>
      </c>
      <c r="K18" s="555">
        <f t="shared" si="0"/>
        <v>-113083.96269133012</v>
      </c>
      <c r="L18" s="542">
        <f>E18-H18</f>
        <v>-30802.652643289068</v>
      </c>
      <c r="M18" s="554">
        <f t="shared" ref="M18" si="3">-L18/H18</f>
        <v>-0.19687676433904999</v>
      </c>
      <c r="O18" s="554"/>
      <c r="P18" s="554"/>
      <c r="Q18" s="554"/>
    </row>
    <row r="19" spans="3:32" ht="18.95" customHeight="1">
      <c r="C19" s="486" t="s">
        <v>528</v>
      </c>
      <c r="D19" s="578">
        <f>SUM(D17+D18)</f>
        <v>619129.40465640137</v>
      </c>
      <c r="E19" s="578">
        <f>SUM(E17+E18)</f>
        <v>172489.54090174614</v>
      </c>
      <c r="F19" s="579">
        <f>+E19/$E$9</f>
        <v>4.3983013750052695E-2</v>
      </c>
      <c r="G19" s="578">
        <f>SUM(G17+G18)</f>
        <v>1797939.2034818709</v>
      </c>
      <c r="H19" s="578">
        <f>SUM(H17+H18)</f>
        <v>540370.74992206797</v>
      </c>
      <c r="I19" s="580">
        <f>+H19/$H$9</f>
        <v>0.14717153726512011</v>
      </c>
      <c r="K19" s="578">
        <f t="shared" si="0"/>
        <v>-1178809.7988254696</v>
      </c>
      <c r="L19" s="578">
        <f t="shared" si="1"/>
        <v>-367881.20902032184</v>
      </c>
      <c r="M19" s="580">
        <f>L19/H19</f>
        <v>-0.68079408271705588</v>
      </c>
      <c r="O19" s="580"/>
      <c r="P19" s="580"/>
      <c r="Q19" s="580"/>
      <c r="S19" s="505"/>
      <c r="T19" s="518"/>
      <c r="U19" s="516"/>
      <c r="V19" s="516"/>
    </row>
    <row r="20" spans="3:32" ht="18.95" customHeight="1">
      <c r="C20" s="430" t="s">
        <v>584</v>
      </c>
      <c r="D20" s="542">
        <f>+'YTD Q1''23 Cons. vs Q1''22'!I21-'YTD Sep Cons. vs PY V2'!D20</f>
        <v>-265076.30700000003</v>
      </c>
      <c r="E20" s="542">
        <f>+'YTD Q1''23 Cons. vs Q1''22'!J21-'YTD Sep Cons. vs PY V2'!E20</f>
        <v>-75733.282785986899</v>
      </c>
      <c r="F20" s="554"/>
      <c r="G20" s="542">
        <f>+'YTD Q1''23 Cons. vs Q1''22'!L21-'YTD Sep Cons. vs PY V2'!G20</f>
        <v>-481711.48799999978</v>
      </c>
      <c r="H20" s="542">
        <f>+'YTD Q1''23 Cons. vs Q1''22'!M21-'YTD Sep Cons. vs PY V2'!H20</f>
        <v>-144912.97078260488</v>
      </c>
      <c r="I20" s="556"/>
      <c r="K20" s="555">
        <f t="shared" si="0"/>
        <v>216635.18099999975</v>
      </c>
      <c r="L20" s="555">
        <f t="shared" si="1"/>
        <v>69179.687996617984</v>
      </c>
      <c r="M20" s="554">
        <f t="shared" ref="M20:M22" si="4">-L20/H20</f>
        <v>0.47738782541695157</v>
      </c>
      <c r="O20" s="554"/>
      <c r="P20" s="554"/>
      <c r="Q20" s="554"/>
    </row>
    <row r="21" spans="3:32" ht="18.95" customHeight="1">
      <c r="C21" s="430" t="s">
        <v>585</v>
      </c>
      <c r="D21" s="542">
        <f>+'YTD Q1''23 Cons. vs Q1''22'!I22-'YTD Sep Cons. vs PY V2'!D21</f>
        <v>42775.732000000004</v>
      </c>
      <c r="E21" s="542">
        <f>+'YTD Q1''23 Cons. vs Q1''22'!J22-'YTD Sep Cons. vs PY V2'!E21</f>
        <v>13068.430669748041</v>
      </c>
      <c r="F21" s="554"/>
      <c r="G21" s="542">
        <f>+'YTD Q1''23 Cons. vs Q1''22'!L22-'YTD Sep Cons. vs PY V2'!G21</f>
        <v>47978.563999999998</v>
      </c>
      <c r="H21" s="542">
        <f>+'YTD Q1''23 Cons. vs Q1''22'!M22-'YTD Sep Cons. vs PY V2'!H21</f>
        <v>14554.219967385723</v>
      </c>
      <c r="I21" s="556"/>
      <c r="K21" s="555">
        <f t="shared" si="0"/>
        <v>-5202.8319999999949</v>
      </c>
      <c r="L21" s="555">
        <f t="shared" si="1"/>
        <v>-1485.7892976376825</v>
      </c>
      <c r="M21" s="554">
        <f t="shared" si="4"/>
        <v>0.10208649456770337</v>
      </c>
      <c r="O21" s="554"/>
      <c r="P21" s="554"/>
      <c r="Q21" s="554"/>
    </row>
    <row r="22" spans="3:32" ht="18.95" customHeight="1">
      <c r="C22" s="522" t="s">
        <v>586</v>
      </c>
      <c r="D22" s="841">
        <f>+'YTD Q1''23 Cons. vs Q1''22'!I23-'YTD Sep Cons. vs PY V2'!D22</f>
        <v>-2930.3759999999966</v>
      </c>
      <c r="E22" s="841">
        <f>+'YTD Q1''23 Cons. vs Q1''22'!J23-'YTD Sep Cons. vs PY V2'!E22</f>
        <v>-821.17394746734408</v>
      </c>
      <c r="F22" s="842"/>
      <c r="G22" s="841">
        <f>+'YTD Q1''23 Cons. vs Q1''22'!L23-'YTD Sep Cons. vs PY V2'!G22</f>
        <v>-47336.084000000003</v>
      </c>
      <c r="H22" s="841">
        <f>+'YTD Q1''23 Cons. vs Q1''22'!M23-'YTD Sep Cons. vs PY V2'!H22</f>
        <v>-14356.317671964824</v>
      </c>
      <c r="I22" s="560"/>
      <c r="J22" s="561"/>
      <c r="K22" s="559">
        <f t="shared" si="0"/>
        <v>44405.708000000006</v>
      </c>
      <c r="L22" s="559">
        <f t="shared" si="1"/>
        <v>13535.14372449748</v>
      </c>
      <c r="M22" s="558">
        <f t="shared" si="4"/>
        <v>0.94280051708029977</v>
      </c>
      <c r="N22" s="561"/>
      <c r="O22" s="558"/>
      <c r="P22" s="558"/>
      <c r="Q22" s="558"/>
      <c r="R22" s="522"/>
      <c r="S22" s="522"/>
      <c r="T22" s="523"/>
      <c r="U22" s="522"/>
      <c r="V22" s="522"/>
    </row>
    <row r="23" spans="3:32" s="434" customFormat="1" ht="33.950000000000003" customHeight="1">
      <c r="C23" s="525" t="s">
        <v>529</v>
      </c>
      <c r="D23" s="581">
        <f>SUM(D19:D22)</f>
        <v>393898.45365640137</v>
      </c>
      <c r="E23" s="581">
        <f>SUM(E19:E22)</f>
        <v>109003.51483803993</v>
      </c>
      <c r="F23" s="582">
        <f>+E23/$E$9</f>
        <v>2.7794746666155976E-2</v>
      </c>
      <c r="G23" s="581">
        <f>SUM(G19:G22)</f>
        <v>1316870.1954818713</v>
      </c>
      <c r="H23" s="581">
        <f>SUM(H19:H22)</f>
        <v>395655.68143488397</v>
      </c>
      <c r="I23" s="583">
        <f>+H23/$H$9</f>
        <v>0.10775796964000793</v>
      </c>
      <c r="J23" s="561"/>
      <c r="K23" s="581">
        <f t="shared" si="0"/>
        <v>-922971.74182546989</v>
      </c>
      <c r="L23" s="581">
        <f t="shared" si="1"/>
        <v>-286652.16659684404</v>
      </c>
      <c r="M23" s="583">
        <f>L23/H23</f>
        <v>-0.72449905321028618</v>
      </c>
      <c r="N23" s="561"/>
      <c r="O23" s="583"/>
      <c r="P23" s="583"/>
      <c r="Q23" s="583"/>
      <c r="R23" s="522"/>
      <c r="S23" s="526">
        <f>F23-I23</f>
        <v>-7.9963222973851958E-2</v>
      </c>
      <c r="T23" s="541">
        <f>S23-S17</f>
        <v>1.808757231601725E-2</v>
      </c>
      <c r="U23" s="537">
        <f>L20+L21+L22</f>
        <v>81229.042423477789</v>
      </c>
      <c r="V23" s="538" t="s">
        <v>605</v>
      </c>
      <c r="W23" s="430"/>
      <c r="X23" s="430"/>
    </row>
    <row r="24" spans="3:32" ht="18.95" customHeight="1">
      <c r="C24" s="485" t="s">
        <v>587</v>
      </c>
      <c r="D24" s="542">
        <f>'YTD Q1''23 Cons. vs Q1''22'!I25-'YTD Sep Cons. vs PY V2'!D24</f>
        <v>-121657.35979999998</v>
      </c>
      <c r="E24" s="542">
        <f>'YTD Q1''23 Cons. vs Q1''22'!J25-'YTD Sep Cons. vs PY V2'!E24</f>
        <v>-35952.2102328373</v>
      </c>
      <c r="F24" s="554"/>
      <c r="G24" s="542">
        <f>'YTD Q1''23 Cons. vs Q1''22'!L25-'YTD Sep Cons. vs PY V2'!G24</f>
        <v>-452912.4</v>
      </c>
      <c r="H24" s="542">
        <f>'YTD Q1''23 Cons. vs Q1''22'!M25-'YTD Sep Cons. vs PY V2'!H24</f>
        <v>-137396.06843829632</v>
      </c>
      <c r="I24" s="556"/>
      <c r="K24" s="555">
        <f t="shared" si="0"/>
        <v>331255.04020000005</v>
      </c>
      <c r="L24" s="542">
        <f t="shared" si="1"/>
        <v>101443.85820545902</v>
      </c>
      <c r="M24" s="556">
        <v>-1</v>
      </c>
      <c r="O24" s="556"/>
      <c r="P24" s="556"/>
      <c r="Q24" s="556"/>
    </row>
    <row r="25" spans="3:32" s="434" customFormat="1" ht="18.95" customHeight="1">
      <c r="C25" s="486" t="s">
        <v>588</v>
      </c>
      <c r="D25" s="578">
        <f>SUM(D23:D24)</f>
        <v>272241.09385640139</v>
      </c>
      <c r="E25" s="578">
        <f>SUM(E23:E24)</f>
        <v>73051.304605202633</v>
      </c>
      <c r="F25" s="579">
        <f>+E25/$E$9</f>
        <v>1.8627312230717341E-2</v>
      </c>
      <c r="G25" s="578">
        <f>SUM(G23:G24)</f>
        <v>863957.79548187123</v>
      </c>
      <c r="H25" s="578">
        <f>SUM(H23:H24)</f>
        <v>258259.61299658765</v>
      </c>
      <c r="I25" s="580">
        <f>+H25/$H$9</f>
        <v>7.0337752855209795E-2</v>
      </c>
      <c r="J25" s="546"/>
      <c r="K25" s="578">
        <f t="shared" si="0"/>
        <v>-591716.70162546984</v>
      </c>
      <c r="L25" s="578">
        <f t="shared" si="1"/>
        <v>-185208.30839138501</v>
      </c>
      <c r="M25" s="580">
        <f>L25/H25</f>
        <v>-0.71714003688928374</v>
      </c>
      <c r="N25" s="546"/>
      <c r="O25" s="580"/>
      <c r="P25" s="580"/>
      <c r="Q25" s="580"/>
      <c r="R25" s="430"/>
      <c r="S25" s="515"/>
      <c r="T25" s="519"/>
      <c r="U25" s="430"/>
      <c r="V25" s="430"/>
      <c r="W25" s="430"/>
      <c r="X25" s="430"/>
    </row>
    <row r="26" spans="3:32" ht="18.95" customHeight="1">
      <c r="C26" s="485"/>
      <c r="D26" s="571"/>
      <c r="E26" s="571"/>
      <c r="F26" s="586"/>
      <c r="G26" s="587"/>
      <c r="H26" s="587"/>
      <c r="I26" s="588"/>
      <c r="K26" s="587"/>
      <c r="L26" s="587"/>
      <c r="M26" s="588"/>
      <c r="O26" s="588"/>
      <c r="P26" s="588"/>
      <c r="Q26" s="588"/>
    </row>
    <row r="27" spans="3:32" ht="18.95" customHeight="1">
      <c r="C27" s="486" t="s">
        <v>589</v>
      </c>
      <c r="D27" s="578">
        <f>SUM(D25:D26)</f>
        <v>272241.09385640139</v>
      </c>
      <c r="E27" s="578">
        <f>SUM(E25:E26)</f>
        <v>73051.304605202633</v>
      </c>
      <c r="F27" s="579">
        <f>+E27/$E$9</f>
        <v>1.8627312230717341E-2</v>
      </c>
      <c r="G27" s="578">
        <f>SUM(G25:G26)</f>
        <v>863957.79548187123</v>
      </c>
      <c r="H27" s="578">
        <f>SUM(H25:H26)</f>
        <v>258259.61299658765</v>
      </c>
      <c r="I27" s="580">
        <f>+H27/$H$9</f>
        <v>7.0337752855209795E-2</v>
      </c>
      <c r="K27" s="578">
        <f t="shared" ref="K27:L29" si="5">D27-G27</f>
        <v>-591716.70162546984</v>
      </c>
      <c r="L27" s="578">
        <f t="shared" si="5"/>
        <v>-185208.30839138501</v>
      </c>
      <c r="M27" s="580">
        <f>L27/H27</f>
        <v>-0.71714003688928374</v>
      </c>
      <c r="O27" s="580"/>
      <c r="P27" s="580"/>
      <c r="Q27" s="580"/>
      <c r="V27" s="520"/>
    </row>
    <row r="28" spans="3:32" ht="18.95" customHeight="1">
      <c r="C28" s="487" t="s">
        <v>590</v>
      </c>
      <c r="D28" s="589">
        <f>'YTD Q1''23 Cons. vs Q1''22'!I29-'YTD Sep Cons. vs PY V2'!D28</f>
        <v>-112353.86164125975</v>
      </c>
      <c r="E28" s="589">
        <f>'YTD Q1''23 Cons. vs Q1''22'!J29-'YTD Sep Cons. vs PY V2'!E28</f>
        <v>-33668.213046095952</v>
      </c>
      <c r="F28" s="590"/>
      <c r="G28" s="589">
        <f>'YTD Q1''23 Cons. vs Q1''22'!L29-'YTD Sep Cons. vs PY V2'!G28</f>
        <v>-30574.886651487737</v>
      </c>
      <c r="H28" s="589">
        <f>'YTD Q1''23 Cons. vs Q1''22'!M29-'YTD Sep Cons. vs PY V2'!H28</f>
        <v>-9278.3693642137041</v>
      </c>
      <c r="I28" s="573"/>
      <c r="K28" s="589">
        <f t="shared" si="5"/>
        <v>-81778.974989772018</v>
      </c>
      <c r="L28" s="589">
        <f t="shared" si="5"/>
        <v>-24389.843681882248</v>
      </c>
      <c r="M28" s="556">
        <f t="shared" ref="M28:M29" si="6">L28/H28</f>
        <v>2.6286778122837933</v>
      </c>
      <c r="O28" s="556"/>
      <c r="P28" s="556"/>
      <c r="Q28" s="556"/>
    </row>
    <row r="29" spans="3:32" ht="18.95" customHeight="1">
      <c r="C29" s="487" t="s">
        <v>591</v>
      </c>
      <c r="D29" s="589">
        <f>'YTD Q1''23 Cons. vs Q1''22'!I30-'YTD Sep Cons. vs PY V2'!D29</f>
        <v>402673.11696341075</v>
      </c>
      <c r="E29" s="589">
        <f>'YTD Q1''23 Cons. vs Q1''22'!J30-'YTD Sep Cons. vs PY V2'!E29</f>
        <v>112263.0954231947</v>
      </c>
      <c r="F29" s="590"/>
      <c r="G29" s="589">
        <f>'YTD Q1''23 Cons. vs Q1''22'!L30-'YTD Sep Cons. vs PY V2'!G29</f>
        <v>1399199.5511333612</v>
      </c>
      <c r="H29" s="589">
        <f>'YTD Q1''23 Cons. vs Q1''22'!M30-'YTD Sep Cons. vs PY V2'!H29</f>
        <v>420544.79096069571</v>
      </c>
      <c r="I29" s="573"/>
      <c r="K29" s="589">
        <f t="shared" si="5"/>
        <v>-996526.43416995043</v>
      </c>
      <c r="L29" s="589">
        <f t="shared" si="5"/>
        <v>-308281.69553750101</v>
      </c>
      <c r="M29" s="556">
        <f t="shared" si="6"/>
        <v>-0.73305317807708414</v>
      </c>
      <c r="O29" s="556"/>
      <c r="P29" s="556"/>
      <c r="Q29" s="556"/>
    </row>
    <row r="30" spans="3:32">
      <c r="F30" s="543"/>
      <c r="H30" s="555"/>
      <c r="I30" s="545"/>
    </row>
    <row r="31" spans="3:32">
      <c r="F31" s="543"/>
      <c r="H31" s="544"/>
      <c r="I31" s="545"/>
    </row>
    <row r="32" spans="3:32">
      <c r="F32" s="543"/>
      <c r="H32" s="544"/>
      <c r="I32" s="545"/>
    </row>
    <row r="33" spans="5:24">
      <c r="F33" s="543"/>
      <c r="H33" s="544"/>
      <c r="I33" s="545"/>
    </row>
    <row r="34" spans="5:24">
      <c r="F34" s="543"/>
      <c r="H34" s="544"/>
      <c r="I34" s="545"/>
    </row>
    <row r="35" spans="5:24">
      <c r="F35" s="543"/>
      <c r="H35" s="544"/>
      <c r="I35" s="545"/>
    </row>
    <row r="36" spans="5:24">
      <c r="F36" s="543"/>
      <c r="H36" s="544"/>
      <c r="I36" s="545"/>
    </row>
    <row r="37" spans="5:24">
      <c r="F37" s="543"/>
      <c r="H37" s="544"/>
      <c r="I37" s="545"/>
    </row>
    <row r="38" spans="5:24">
      <c r="F38" s="543"/>
      <c r="H38" s="544"/>
      <c r="I38" s="545"/>
    </row>
    <row r="39" spans="5:24">
      <c r="F39" s="543"/>
      <c r="H39" s="544"/>
      <c r="I39" s="545"/>
    </row>
    <row r="40" spans="5:24">
      <c r="F40" s="543"/>
      <c r="H40" s="544"/>
      <c r="I40" s="545"/>
      <c r="X40" s="430">
        <f>S40/6</f>
        <v>0</v>
      </c>
    </row>
    <row r="41" spans="5:24">
      <c r="F41" s="543"/>
      <c r="H41" s="544"/>
      <c r="I41" s="545"/>
    </row>
    <row r="42" spans="5:24">
      <c r="F42" s="543"/>
      <c r="H42" s="544"/>
      <c r="I42" s="545"/>
    </row>
    <row r="43" spans="5:24">
      <c r="E43" s="591"/>
      <c r="F43" s="543"/>
      <c r="H43" s="591"/>
      <c r="I43" s="545"/>
    </row>
    <row r="44" spans="5:24">
      <c r="F44" s="543"/>
      <c r="H44" s="544"/>
      <c r="I44" s="545"/>
    </row>
  </sheetData>
  <mergeCells count="6">
    <mergeCell ref="K5:M5"/>
    <mergeCell ref="I5:I6"/>
    <mergeCell ref="C5:C6"/>
    <mergeCell ref="D5:E5"/>
    <mergeCell ref="F5:F6"/>
    <mergeCell ref="G5:H5"/>
  </mergeCells>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004D7A-0509-44F1-8C46-ED4AF95FC0F3}">
  <dimension ref="B1:X28"/>
  <sheetViews>
    <sheetView showGridLines="0" topLeftCell="B3" zoomScale="70" zoomScaleNormal="70" workbookViewId="0">
      <selection activeCell="C47" sqref="C47"/>
    </sheetView>
  </sheetViews>
  <sheetFormatPr baseColWidth="10" defaultColWidth="10.375" defaultRowHeight="15"/>
  <cols>
    <col min="1" max="1" width="8.875" style="453" customWidth="1"/>
    <col min="2" max="2" width="26.75" style="453" customWidth="1"/>
    <col min="3" max="8" width="11.125" style="453" customWidth="1"/>
    <col min="9" max="9" width="2.625" style="453" customWidth="1"/>
    <col min="10" max="12" width="11.125" style="453" customWidth="1"/>
    <col min="13" max="13" width="2.625" style="453" customWidth="1"/>
    <col min="14" max="14" width="11.125" style="453" customWidth="1"/>
    <col min="15" max="15" width="13" style="453" bestFit="1" customWidth="1"/>
    <col min="16" max="16" width="13" style="453" customWidth="1"/>
    <col min="17" max="17" width="2" style="453" customWidth="1"/>
    <col min="18" max="18" width="3.875" style="453" customWidth="1"/>
    <col min="19" max="19" width="5" style="453" customWidth="1"/>
    <col min="20" max="20" width="4.125" style="453" customWidth="1"/>
    <col min="21" max="21" width="11.875" style="453" customWidth="1"/>
    <col min="22" max="22" width="30" style="453" customWidth="1"/>
    <col min="23" max="16384" width="10.375" style="453"/>
  </cols>
  <sheetData>
    <row r="1" spans="2:24" ht="15.75" thickBot="1"/>
    <row r="2" spans="2:24">
      <c r="B2" s="621"/>
      <c r="C2" s="622"/>
      <c r="D2" s="622"/>
      <c r="E2" s="622"/>
      <c r="F2" s="622"/>
      <c r="G2" s="622"/>
      <c r="H2" s="623"/>
      <c r="I2" s="623"/>
      <c r="J2" s="623"/>
      <c r="K2" s="623"/>
      <c r="L2" s="623"/>
      <c r="M2" s="623"/>
      <c r="N2" s="623"/>
      <c r="O2" s="623"/>
      <c r="P2" s="623"/>
      <c r="Q2" s="624"/>
      <c r="S2" s="625"/>
    </row>
    <row r="3" spans="2:24" ht="21" customHeight="1">
      <c r="B3" s="488" t="s">
        <v>592</v>
      </c>
      <c r="C3" s="762" t="s">
        <v>2005</v>
      </c>
      <c r="D3" s="449"/>
      <c r="E3" s="450"/>
      <c r="F3" s="451"/>
      <c r="G3" s="449"/>
      <c r="H3" s="452"/>
      <c r="I3" s="430"/>
      <c r="J3" s="430"/>
      <c r="K3" s="430"/>
      <c r="L3" s="430"/>
      <c r="M3" s="430"/>
      <c r="N3" s="430"/>
      <c r="O3" s="430"/>
      <c r="P3" s="430"/>
      <c r="Q3" s="626"/>
      <c r="S3" s="1261" t="s">
        <v>606</v>
      </c>
      <c r="T3" s="1261"/>
      <c r="U3" s="1261"/>
      <c r="V3" s="1261"/>
    </row>
    <row r="4" spans="2:24">
      <c r="B4" s="489"/>
      <c r="C4" s="430"/>
      <c r="D4" s="430"/>
      <c r="E4" s="430"/>
      <c r="F4" s="430"/>
      <c r="G4" s="430"/>
      <c r="H4" s="430"/>
      <c r="I4" s="430"/>
      <c r="J4" s="430"/>
      <c r="K4" s="430"/>
      <c r="L4" s="430"/>
      <c r="M4" s="430"/>
      <c r="N4" s="430"/>
      <c r="O4" s="430"/>
      <c r="P4" s="430"/>
      <c r="Q4" s="626"/>
    </row>
    <row r="5" spans="2:24">
      <c r="B5" s="1278" t="s">
        <v>169</v>
      </c>
      <c r="C5" s="1262" t="s">
        <v>2004</v>
      </c>
      <c r="D5" s="1264"/>
      <c r="E5" s="1265" t="s">
        <v>594</v>
      </c>
      <c r="F5" s="1262" t="s">
        <v>2011</v>
      </c>
      <c r="G5" s="1264"/>
      <c r="H5" s="1266" t="s">
        <v>594</v>
      </c>
      <c r="I5" s="430"/>
      <c r="J5" s="1262" t="s">
        <v>593</v>
      </c>
      <c r="K5" s="1262"/>
      <c r="L5" s="1262"/>
      <c r="M5" s="430"/>
      <c r="N5" s="708" t="s">
        <v>2006</v>
      </c>
      <c r="O5" s="708" t="s">
        <v>2007</v>
      </c>
      <c r="P5" s="708"/>
      <c r="Q5" s="626"/>
    </row>
    <row r="6" spans="2:24">
      <c r="B6" s="1278"/>
      <c r="C6" s="446" t="s">
        <v>521</v>
      </c>
      <c r="D6" s="446" t="s">
        <v>522</v>
      </c>
      <c r="E6" s="1265"/>
      <c r="F6" s="446" t="s">
        <v>521</v>
      </c>
      <c r="G6" s="446" t="s">
        <v>522</v>
      </c>
      <c r="H6" s="1266"/>
      <c r="I6" s="430"/>
      <c r="J6" s="446" t="s">
        <v>521</v>
      </c>
      <c r="K6" s="446" t="s">
        <v>522</v>
      </c>
      <c r="L6" s="446" t="s">
        <v>596</v>
      </c>
      <c r="M6" s="430"/>
      <c r="N6" s="446" t="s">
        <v>216</v>
      </c>
      <c r="O6" s="446" t="s">
        <v>216</v>
      </c>
      <c r="P6" s="446" t="s">
        <v>596</v>
      </c>
      <c r="Q6" s="626"/>
    </row>
    <row r="7" spans="2:24" s="502" customFormat="1" ht="23.1" customHeight="1">
      <c r="B7" s="759" t="s">
        <v>597</v>
      </c>
      <c r="C7" s="431">
        <f>'YTD Q1''23 SNA vs Q1''22'!C7-'YTD Sep SNA vs PY'!C7</f>
        <v>8358041.175999999</v>
      </c>
      <c r="D7" s="431">
        <f>'YTD Q1''23 SNA vs Q1''22'!D7-'YTD Sep SNA vs PY'!D7</f>
        <v>2263347.2240682067</v>
      </c>
      <c r="F7" s="431">
        <f>'YTD Q1''23 SNA vs Q1''22'!F7-'YTD Sep SNA vs PY'!F7</f>
        <v>8879440.8649999984</v>
      </c>
      <c r="G7" s="431">
        <f>'YTD Q1''23 SNA vs Q1''22'!G7-'YTD Sep SNA vs PY'!G7</f>
        <v>2740016.8274382381</v>
      </c>
      <c r="J7" s="760">
        <f>C7-F7</f>
        <v>-521399.68899999931</v>
      </c>
      <c r="K7" s="431">
        <f>D7-G7</f>
        <v>-476669.60337003134</v>
      </c>
      <c r="L7" s="435">
        <f t="shared" ref="L7:L23" si="0">K7/G7</f>
        <v>-0.17396594013464167</v>
      </c>
      <c r="N7" s="758"/>
      <c r="O7" s="758"/>
      <c r="P7" s="435"/>
      <c r="Q7" s="761"/>
    </row>
    <row r="8" spans="2:24" ht="18" customHeight="1">
      <c r="B8" s="454" t="s">
        <v>598</v>
      </c>
      <c r="C8" s="459">
        <f>+'YTD Q1''23 SNA vs Q1''22'!C8-'YTD Sep SNA vs PY'!C8</f>
        <v>2414108.8099999996</v>
      </c>
      <c r="D8" s="431">
        <f>'YTD Q1''23 SNA vs Q1''22'!D8-'YTD Sep SNA vs PY'!D8</f>
        <v>671844.0125981681</v>
      </c>
      <c r="F8" s="459">
        <f>+'YTD Q1''23 SNA vs Q1''22'!F8-'YTD Sep SNA vs PY'!F8</f>
        <v>2631511.8750269981</v>
      </c>
      <c r="G8" s="431">
        <f>+'YTD Q1''23 SNA vs Q1''22'!G8-'YTD Sep SNA vs PY'!G8</f>
        <v>812713.46613558964</v>
      </c>
      <c r="J8" s="459">
        <f t="shared" ref="J8:K9" si="1">C8-F8</f>
        <v>-217403.06502699852</v>
      </c>
      <c r="K8" s="431">
        <f t="shared" si="1"/>
        <v>-140869.45353742153</v>
      </c>
      <c r="L8" s="435">
        <f t="shared" si="0"/>
        <v>-0.1733322498115461</v>
      </c>
      <c r="N8" s="765"/>
      <c r="O8" s="597"/>
      <c r="P8" s="502"/>
      <c r="Q8" s="761"/>
    </row>
    <row r="9" spans="2:24" ht="18" customHeight="1">
      <c r="B9" s="454" t="s">
        <v>599</v>
      </c>
      <c r="C9" s="459">
        <f>+'YTD Q1''23 SNA vs Q1''22'!C9-'YTD Sep SNA vs PY'!C9</f>
        <v>351455.397</v>
      </c>
      <c r="D9" s="431">
        <f>+'YTD Q1''23 SNA vs Q1''22'!D9-'YTD Sep SNA vs PY'!D9</f>
        <v>101038.32026764892</v>
      </c>
      <c r="F9" s="459">
        <f>+'YTD Q1''23 SNA vs Q1''22'!F9-'YTD Sep SNA vs PY'!F9</f>
        <v>66896.776000000013</v>
      </c>
      <c r="G9" s="431">
        <f>+'YTD Q1''23 SNA vs Q1''22'!G9-'YTD Sep SNA vs PY'!G9</f>
        <v>20650.398288555865</v>
      </c>
      <c r="J9" s="459">
        <f t="shared" si="1"/>
        <v>284558.62099999998</v>
      </c>
      <c r="K9" s="431">
        <f t="shared" si="1"/>
        <v>80387.921979093051</v>
      </c>
      <c r="L9" s="435">
        <f t="shared" si="0"/>
        <v>3.8928024949350641</v>
      </c>
      <c r="N9" s="765"/>
      <c r="O9" s="597"/>
      <c r="P9" s="502"/>
      <c r="Q9" s="502"/>
    </row>
    <row r="10" spans="2:24" ht="23.1" customHeight="1">
      <c r="B10" s="490" t="s">
        <v>600</v>
      </c>
      <c r="C10" s="432">
        <f>SUM(C7:C9)</f>
        <v>11123605.382999998</v>
      </c>
      <c r="D10" s="432">
        <f>SUM(D7:D9)</f>
        <v>3036229.5569340237</v>
      </c>
      <c r="E10" s="430"/>
      <c r="F10" s="432">
        <f>SUM(F7:F9)</f>
        <v>11577849.516026996</v>
      </c>
      <c r="G10" s="432">
        <f>SUM(G7:G9)</f>
        <v>3573380.6918623834</v>
      </c>
      <c r="H10" s="430"/>
      <c r="I10" s="430"/>
      <c r="J10" s="432">
        <f t="shared" ref="J10:K23" si="2">C10-F10</f>
        <v>-454244.13302699849</v>
      </c>
      <c r="K10" s="432">
        <f t="shared" si="2"/>
        <v>-537151.13492835965</v>
      </c>
      <c r="L10" s="445">
        <f t="shared" si="0"/>
        <v>-0.15032015372770313</v>
      </c>
      <c r="M10" s="430"/>
      <c r="N10" s="432">
        <f>'FY22 Fcst'!E5*1000</f>
        <v>4709530.7968852138</v>
      </c>
      <c r="O10" s="432">
        <f>D10-N10</f>
        <v>-1673301.2399511901</v>
      </c>
      <c r="P10" s="445">
        <f>O10/N10</f>
        <v>-0.35530105059677641</v>
      </c>
      <c r="Q10" s="626"/>
    </row>
    <row r="11" spans="2:24" ht="23.1" customHeight="1">
      <c r="B11" s="489" t="s">
        <v>573</v>
      </c>
      <c r="C11" s="459">
        <f>'YTD Q1''23 SNA vs Q1''22'!C11-'YTD Sep SNA vs PY'!C11</f>
        <v>-23489.740999999922</v>
      </c>
      <c r="D11" s="459">
        <f>+'YTD Q1''23 SNA vs Q1''22'!D11-'YTD Sep SNA vs PY'!D11</f>
        <v>-19221.612940356194</v>
      </c>
      <c r="E11" s="766"/>
      <c r="F11" s="431">
        <f>+'YTD Q1''23 SNA vs Q1''22'!F11-'YTD Sep SNA vs PY'!F11</f>
        <v>-1242060.507</v>
      </c>
      <c r="G11" s="431">
        <f>+'YTD Q1''23 SNA vs Q1''22'!G11-'YTD Sep SNA vs PY'!G11</f>
        <v>-379576.44519228791</v>
      </c>
      <c r="H11" s="766"/>
      <c r="I11" s="766"/>
      <c r="J11" s="459"/>
      <c r="K11" s="459"/>
      <c r="L11" s="459"/>
      <c r="M11" s="766"/>
      <c r="N11" s="765"/>
      <c r="O11" s="765"/>
      <c r="P11" s="767"/>
      <c r="Q11" s="626"/>
    </row>
    <row r="12" spans="2:24" ht="23.1" customHeight="1">
      <c r="B12" s="489" t="s">
        <v>572</v>
      </c>
      <c r="C12" s="431">
        <f>+'YTD Q1''23 SNA vs Q1''22'!C12-'YTD Sep SNA vs PY'!C12</f>
        <v>-7593570.4100000001</v>
      </c>
      <c r="D12" s="431">
        <f>+'YTD Q1''23 SNA vs Q1''22'!D12-'YTD Sep SNA vs PY'!D12</f>
        <v>-2065139.5878482033</v>
      </c>
      <c r="E12" s="435">
        <f>(D12+D11)/$D$10</f>
        <v>-0.68649657797724017</v>
      </c>
      <c r="F12" s="431">
        <f>+'YTD Q1''23 SNA vs Q1''22'!F12-'YTD Sep SNA vs PY'!F12</f>
        <v>-7034818.1380335055</v>
      </c>
      <c r="G12" s="431">
        <f>+'YTD Q1''23 SNA vs Q1''22'!G12-'YTD Sep SNA vs PY'!G12</f>
        <v>-2172422.8495388236</v>
      </c>
      <c r="H12" s="435">
        <f>(G12+G11)/$D$10</f>
        <v>-0.84051592505677108</v>
      </c>
      <c r="I12" s="430"/>
      <c r="J12" s="431">
        <f t="shared" si="2"/>
        <v>-558752.27196649462</v>
      </c>
      <c r="K12" s="431">
        <f t="shared" si="2"/>
        <v>107283.26169062033</v>
      </c>
      <c r="L12" s="435">
        <f>-K12/G12</f>
        <v>4.9384152681599319E-2</v>
      </c>
      <c r="M12" s="430"/>
      <c r="N12" s="758"/>
      <c r="O12" s="758"/>
      <c r="P12" s="435"/>
      <c r="Q12" s="626"/>
    </row>
    <row r="13" spans="2:24" ht="50.1" customHeight="1">
      <c r="B13" s="491" t="s">
        <v>574</v>
      </c>
      <c r="C13" s="433">
        <f>C10+C12+C11</f>
        <v>3506545.2319999975</v>
      </c>
      <c r="D13" s="433">
        <f>D10+D12+D11</f>
        <v>951868.35614546435</v>
      </c>
      <c r="E13" s="461">
        <f>+D13/$D$10</f>
        <v>0.31350342202275983</v>
      </c>
      <c r="F13" s="433">
        <f>F10+F11+F12</f>
        <v>3300970.8709934913</v>
      </c>
      <c r="G13" s="433">
        <f>G10+G11+G12</f>
        <v>1021381.3971312717</v>
      </c>
      <c r="H13" s="461">
        <f t="shared" ref="H13:H23" si="3">+G13/$G$10</f>
        <v>0.28583055800834517</v>
      </c>
      <c r="I13" s="430"/>
      <c r="J13" s="433">
        <f t="shared" si="2"/>
        <v>205574.36100650625</v>
      </c>
      <c r="K13" s="433">
        <f t="shared" si="2"/>
        <v>-69513.040985807311</v>
      </c>
      <c r="L13" s="461">
        <f t="shared" si="0"/>
        <v>-6.8057868667910776E-2</v>
      </c>
      <c r="M13" s="430"/>
      <c r="N13" s="433"/>
      <c r="O13" s="433"/>
      <c r="P13" s="461"/>
      <c r="Q13" s="626"/>
      <c r="S13" s="619">
        <f>E13-H13</f>
        <v>2.7672864014414655E-2</v>
      </c>
      <c r="T13" s="619"/>
      <c r="U13" s="506">
        <f>-K12</f>
        <v>-107283.26169062033</v>
      </c>
      <c r="V13" s="618"/>
    </row>
    <row r="14" spans="2:24" ht="20.100000000000001" customHeight="1">
      <c r="B14" s="489" t="s">
        <v>578</v>
      </c>
      <c r="C14" s="431">
        <f>'YTD Q1''23 SNA vs Q1''22'!C14-'YTD Sep SNA vs PY'!C14</f>
        <v>-1579478.6799999997</v>
      </c>
      <c r="D14" s="431">
        <f>+'YTD Q1''23 SNA vs Q1''22'!D14-'YTD Sep SNA vs PY'!D14</f>
        <v>-445570.38397789386</v>
      </c>
      <c r="E14" s="435">
        <f t="shared" ref="E14:E15" si="4">+D14/$D$10</f>
        <v>-0.14675121746322423</v>
      </c>
      <c r="F14" s="431">
        <f>+'YTD Q1''23 SNA vs Q1''22'!F14-'YTD Sep SNA vs PY'!F14</f>
        <v>-1030444.8219999997</v>
      </c>
      <c r="G14" s="431">
        <f>+'YTD Q1''23 SNA vs Q1''22'!G14-'YTD Sep SNA vs PY'!G14</f>
        <v>-318019.03392882936</v>
      </c>
      <c r="H14" s="435">
        <f t="shared" si="3"/>
        <v>-8.8996684471108908E-2</v>
      </c>
      <c r="I14" s="430"/>
      <c r="J14" s="431">
        <f t="shared" si="2"/>
        <v>-549033.85800000001</v>
      </c>
      <c r="K14" s="431">
        <f t="shared" si="2"/>
        <v>-127551.35004906449</v>
      </c>
      <c r="L14" s="435">
        <f>-K14/G14</f>
        <v>-0.40108086762382178</v>
      </c>
      <c r="M14" s="430"/>
      <c r="N14" s="758"/>
      <c r="O14" s="758"/>
      <c r="P14" s="435"/>
      <c r="Q14" s="626"/>
      <c r="R14" s="629"/>
      <c r="X14" s="498">
        <f>K14+160000</f>
        <v>32448.649950935505</v>
      </c>
    </row>
    <row r="15" spans="2:24" ht="20.100000000000001" customHeight="1">
      <c r="B15" s="489" t="s">
        <v>579</v>
      </c>
      <c r="C15" s="431">
        <f>+'YTD Q1''23 SNA vs Q1''22'!C15-'YTD Sep SNA vs PY'!C15</f>
        <v>-1081827.977</v>
      </c>
      <c r="D15" s="431">
        <f>+'YTD Q1''23 SNA vs Q1''22'!D15-'YTD Sep SNA vs PY'!D15</f>
        <v>-304038.32562360144</v>
      </c>
      <c r="E15" s="435">
        <f t="shared" si="4"/>
        <v>-0.10013680452100548</v>
      </c>
      <c r="F15" s="431">
        <f>+'YTD Q1''23 SNA vs Q1''22'!F15-'YTD Sep SNA vs PY'!F15</f>
        <v>-629471.04127500043</v>
      </c>
      <c r="G15" s="431">
        <f>+'YTD Q1''23 SNA vs Q1''22'!G15-'YTD Sep SNA vs PY'!G15</f>
        <v>-194809.60350545892</v>
      </c>
      <c r="H15" s="435">
        <f t="shared" si="3"/>
        <v>-5.4516890391526567E-2</v>
      </c>
      <c r="I15" s="430"/>
      <c r="J15" s="431">
        <f t="shared" si="2"/>
        <v>-452356.93572499952</v>
      </c>
      <c r="K15" s="431">
        <f t="shared" si="2"/>
        <v>-109228.72211814253</v>
      </c>
      <c r="L15" s="435">
        <f>-K15/G15</f>
        <v>-0.56069475093963594</v>
      </c>
      <c r="M15" s="430"/>
      <c r="N15" s="758"/>
      <c r="O15" s="758"/>
      <c r="P15" s="435"/>
      <c r="Q15" s="626"/>
      <c r="U15" s="503">
        <f>K15</f>
        <v>-109228.72211814253</v>
      </c>
      <c r="V15" s="620"/>
    </row>
    <row r="16" spans="2:24" ht="20.100000000000001" customHeight="1">
      <c r="B16" s="490" t="s">
        <v>595</v>
      </c>
      <c r="C16" s="432">
        <f>SUM(C11:C15)-C13</f>
        <v>-10278366.808</v>
      </c>
      <c r="D16" s="432">
        <f>SUM(D11:D15)-D13</f>
        <v>-2833969.9103900548</v>
      </c>
      <c r="E16" s="441">
        <f>D16/D10</f>
        <v>-0.93338459996146994</v>
      </c>
      <c r="F16" s="432">
        <f>SUM(F11:F15)-F13</f>
        <v>-9936794.5083085056</v>
      </c>
      <c r="G16" s="432">
        <f>SUM(G11:G15)-G13</f>
        <v>-3064827.9321653992</v>
      </c>
      <c r="H16" s="441">
        <f t="shared" si="3"/>
        <v>-0.85768301685429005</v>
      </c>
      <c r="I16" s="430"/>
      <c r="J16" s="432">
        <f t="shared" si="2"/>
        <v>-341572.29969149455</v>
      </c>
      <c r="K16" s="432">
        <f>D16-G16</f>
        <v>230858.02177534439</v>
      </c>
      <c r="L16" s="445">
        <f>-K16/G16</f>
        <v>7.5324953597716585E-2</v>
      </c>
      <c r="M16" s="430"/>
      <c r="N16" s="432"/>
      <c r="O16" s="432"/>
      <c r="P16" s="445"/>
      <c r="Q16" s="626"/>
    </row>
    <row r="17" spans="2:22" ht="20.100000000000001" customHeight="1">
      <c r="B17" s="492" t="s">
        <v>5</v>
      </c>
      <c r="C17" s="440">
        <f>+C10+C16</f>
        <v>845238.57499999739</v>
      </c>
      <c r="D17" s="440">
        <f>+D10+D16</f>
        <v>202259.64654396893</v>
      </c>
      <c r="E17" s="442">
        <f>+D17/D10</f>
        <v>6.6615400038530087E-2</v>
      </c>
      <c r="F17" s="440">
        <f>+F10+F16</f>
        <v>1641055.0077184904</v>
      </c>
      <c r="G17" s="440">
        <f>+G10+G16</f>
        <v>508552.7596969842</v>
      </c>
      <c r="H17" s="442">
        <f t="shared" si="3"/>
        <v>0.14231698314570995</v>
      </c>
      <c r="I17" s="430"/>
      <c r="J17" s="440">
        <f t="shared" si="2"/>
        <v>-795816.43271849304</v>
      </c>
      <c r="K17" s="440">
        <f t="shared" si="2"/>
        <v>-306293.11315301526</v>
      </c>
      <c r="L17" s="442">
        <f>K17/G17</f>
        <v>-0.60228384825896297</v>
      </c>
      <c r="M17" s="430"/>
      <c r="N17" s="440">
        <f>'FY22 Fcst'!E12*1000</f>
        <v>541769.99587651331</v>
      </c>
      <c r="O17" s="440">
        <f>D17-N17</f>
        <v>-339510.34933254437</v>
      </c>
      <c r="P17" s="442">
        <f>O17/N17</f>
        <v>-0.62666879287632171</v>
      </c>
      <c r="Q17" s="626"/>
      <c r="S17" s="499"/>
    </row>
    <row r="18" spans="2:22" ht="20.100000000000001" customHeight="1">
      <c r="B18" s="489" t="s">
        <v>580</v>
      </c>
      <c r="C18" s="431">
        <f>+'YTD Q1''23 SNA vs Q1''22'!C18-'YTD Sep SNA vs PY'!C18</f>
        <v>-651619.10800000001</v>
      </c>
      <c r="D18" s="431">
        <f>+'YTD Q1''23 SNA vs Q1''22'!D18-'YTD Sep SNA vs PY'!D18</f>
        <v>-177765.91713391448</v>
      </c>
      <c r="E18" s="435">
        <f t="shared" ref="E18:E22" si="5">+D18/$D$10</f>
        <v>-5.8548246698916277E-2</v>
      </c>
      <c r="F18" s="431">
        <f>+'YTD Q1''23 SNA vs Q1''22'!F18-'YTD Sep SNA vs PY'!F18</f>
        <v>-467999.52800000017</v>
      </c>
      <c r="G18" s="431">
        <f>+'YTD Q1''23 SNA vs Q1''22'!G18-'YTD Sep SNA vs PY'!G18</f>
        <v>-145102.52854671219</v>
      </c>
      <c r="H18" s="435">
        <f t="shared" si="3"/>
        <v>-4.0606512728171507E-2</v>
      </c>
      <c r="I18" s="430"/>
      <c r="J18" s="431">
        <f t="shared" si="2"/>
        <v>-183619.57999999984</v>
      </c>
      <c r="K18" s="431">
        <f t="shared" si="2"/>
        <v>-32663.388587202295</v>
      </c>
      <c r="L18" s="435">
        <f>-K18/G18</f>
        <v>-0.2251055782028438</v>
      </c>
      <c r="M18" s="430"/>
      <c r="N18" s="758"/>
      <c r="O18" s="758"/>
      <c r="P18" s="435"/>
      <c r="Q18" s="626"/>
    </row>
    <row r="19" spans="2:22" ht="23.1" customHeight="1">
      <c r="B19" s="491" t="s">
        <v>528</v>
      </c>
      <c r="C19" s="433">
        <f>C17+C18</f>
        <v>193619.46699999738</v>
      </c>
      <c r="D19" s="433">
        <f>D17+D18</f>
        <v>24493.729410054453</v>
      </c>
      <c r="E19" s="461">
        <f>+D19/$D$10</f>
        <v>8.0671533396138046E-3</v>
      </c>
      <c r="F19" s="433">
        <f>F17+F18</f>
        <v>1173055.4797184903</v>
      </c>
      <c r="G19" s="433">
        <f>G17+G18</f>
        <v>363450.23115027201</v>
      </c>
      <c r="H19" s="461">
        <f t="shared" si="3"/>
        <v>0.10171047041753845</v>
      </c>
      <c r="I19" s="430"/>
      <c r="J19" s="433">
        <f t="shared" si="2"/>
        <v>-979436.01271849289</v>
      </c>
      <c r="K19" s="433">
        <f t="shared" si="2"/>
        <v>-338956.50174021756</v>
      </c>
      <c r="L19" s="461">
        <f t="shared" si="0"/>
        <v>-0.93260774843219929</v>
      </c>
      <c r="M19" s="430"/>
      <c r="N19" s="433"/>
      <c r="O19" s="433"/>
      <c r="P19" s="461"/>
      <c r="Q19" s="626"/>
      <c r="S19" s="619"/>
    </row>
    <row r="20" spans="2:22" ht="20.100000000000001" customHeight="1">
      <c r="B20" s="489" t="s">
        <v>584</v>
      </c>
      <c r="C20" s="431">
        <f>+'YTD Q1''23 SNA vs Q1''22'!C20-'YTD Sep SNA vs PY'!C20</f>
        <v>-152786.72300000023</v>
      </c>
      <c r="D20" s="431">
        <f>+'YTD Q1''23 SNA vs Q1''22'!D20-'YTD Sep SNA vs PY'!D20</f>
        <v>-34527.616220686294</v>
      </c>
      <c r="E20" s="435">
        <f t="shared" si="5"/>
        <v>-1.137187276957813E-2</v>
      </c>
      <c r="F20" s="431">
        <f>+'YTD Q1''23 SNA vs Q1''22'!F20-'YTD Sep SNA vs PY'!F20</f>
        <v>-435158.50199999975</v>
      </c>
      <c r="G20" s="431">
        <f>+'YTD Q1''23 SNA vs Q1''22'!G20-'YTD Sep SNA vs PY'!G20</f>
        <v>-134247.53687075176</v>
      </c>
      <c r="H20" s="435">
        <f t="shared" si="3"/>
        <v>-3.7568775467017007E-2</v>
      </c>
      <c r="I20" s="430"/>
      <c r="J20" s="431">
        <f t="shared" si="2"/>
        <v>282371.77899999951</v>
      </c>
      <c r="K20" s="431">
        <f t="shared" si="2"/>
        <v>99719.920650065469</v>
      </c>
      <c r="L20" s="435">
        <f>-K20/G20</f>
        <v>0.7428063335424312</v>
      </c>
      <c r="M20" s="430"/>
      <c r="N20" s="758"/>
      <c r="O20" s="758"/>
      <c r="P20" s="435"/>
      <c r="Q20" s="626"/>
    </row>
    <row r="21" spans="2:22" ht="20.100000000000001" customHeight="1">
      <c r="B21" s="489" t="s">
        <v>585</v>
      </c>
      <c r="C21" s="431">
        <f>+'YTD Q1''23 SNA vs Q1''22'!C21-'YTD Sep SNA vs PY'!C21</f>
        <v>25885.84</v>
      </c>
      <c r="D21" s="431">
        <f>+'YTD Q1''23 SNA vs Q1''22'!D21-'YTD Sep SNA vs PY'!D21</f>
        <v>7732.1542629050145</v>
      </c>
      <c r="E21" s="435">
        <f t="shared" si="5"/>
        <v>2.5466303248536065E-3</v>
      </c>
      <c r="F21" s="431">
        <f>+'YTD Q1''23 SNA vs Q1''22'!F21-'YTD Sep SNA vs PY'!F21</f>
        <v>14147.874000000002</v>
      </c>
      <c r="G21" s="431">
        <f>+'YTD Q1''23 SNA vs Q1''22'!G21-'YTD Sep SNA vs PY'!G21</f>
        <v>4326.3037698358094</v>
      </c>
      <c r="H21" s="435">
        <f t="shared" si="3"/>
        <v>1.2107032927356574E-3</v>
      </c>
      <c r="I21" s="430"/>
      <c r="J21" s="431">
        <f t="shared" si="2"/>
        <v>11737.965999999999</v>
      </c>
      <c r="K21" s="431">
        <f t="shared" si="2"/>
        <v>3405.8504930692052</v>
      </c>
      <c r="L21" s="435">
        <f>-K21/G21</f>
        <v>-0.78724256877562326</v>
      </c>
      <c r="M21" s="430"/>
      <c r="N21" s="758"/>
      <c r="O21" s="758"/>
      <c r="P21" s="435"/>
      <c r="Q21" s="626"/>
    </row>
    <row r="22" spans="2:22" ht="20.100000000000001" customHeight="1">
      <c r="B22" s="489" t="s">
        <v>586</v>
      </c>
      <c r="C22" s="431">
        <f>+'YTD Q1''23 SNA vs Q1''22'!C22-'YTD Sep SNA vs PY'!C22</f>
        <v>-2549.5529999999999</v>
      </c>
      <c r="D22" s="431">
        <f>+'YTD Q1''23 SNA vs Q1''22'!D22-'YTD Sep SNA vs PY'!D22</f>
        <v>-588.37929108154731</v>
      </c>
      <c r="E22" s="435">
        <f t="shared" si="5"/>
        <v>-1.9378616802469018E-4</v>
      </c>
      <c r="F22" s="431">
        <f>+'YTD Q1''23 SNA vs Q1''22'!F22-'YTD Sep SNA vs PY'!F22</f>
        <v>-16721.512999999999</v>
      </c>
      <c r="G22" s="431">
        <f>+'YTD Q1''23 SNA vs Q1''22'!G22-'YTD Sep SNA vs PY'!G22</f>
        <v>-5116.1668514997436</v>
      </c>
      <c r="H22" s="435">
        <f t="shared" si="3"/>
        <v>-1.4317441360644078E-3</v>
      </c>
      <c r="I22" s="430"/>
      <c r="J22" s="431">
        <f t="shared" si="2"/>
        <v>14171.96</v>
      </c>
      <c r="K22" s="431">
        <f t="shared" si="2"/>
        <v>4527.7875604181963</v>
      </c>
      <c r="L22" s="435">
        <f>-K22/G22</f>
        <v>0.88499607065999597</v>
      </c>
      <c r="M22" s="430"/>
      <c r="N22" s="758"/>
      <c r="O22" s="758"/>
      <c r="P22" s="435"/>
      <c r="Q22" s="626"/>
      <c r="R22" s="630"/>
    </row>
    <row r="23" spans="2:22" ht="20.100000000000001" customHeight="1">
      <c r="B23" s="491" t="s">
        <v>529</v>
      </c>
      <c r="C23" s="433">
        <f>C19+C20+C21+C22</f>
        <v>64169.030999997151</v>
      </c>
      <c r="D23" s="433">
        <f>D19+D20+D21+D22</f>
        <v>-2890.1118388083732</v>
      </c>
      <c r="E23" s="461">
        <f>+D23/$D$10</f>
        <v>-9.518752731354082E-4</v>
      </c>
      <c r="F23" s="433">
        <f>F19+F20+F21+F22</f>
        <v>735323.33871849044</v>
      </c>
      <c r="G23" s="433">
        <f>G19+G20+G21+G22</f>
        <v>228412.83119785629</v>
      </c>
      <c r="H23" s="461">
        <f t="shared" si="3"/>
        <v>6.3920654107192679E-2</v>
      </c>
      <c r="I23" s="430"/>
      <c r="J23" s="433">
        <f t="shared" si="2"/>
        <v>-671154.30771849328</v>
      </c>
      <c r="K23" s="433">
        <f t="shared" si="2"/>
        <v>-231302.94303666466</v>
      </c>
      <c r="L23" s="461">
        <f t="shared" si="0"/>
        <v>-1.0126530187627896</v>
      </c>
      <c r="M23" s="430"/>
      <c r="N23" s="433"/>
      <c r="O23" s="433"/>
      <c r="P23" s="461"/>
      <c r="Q23" s="626"/>
      <c r="S23" s="619">
        <f>E23-H23</f>
        <v>-6.4872529380328087E-2</v>
      </c>
      <c r="T23" s="595"/>
      <c r="U23" s="503">
        <f>K20+K21+K22</f>
        <v>107653.55870355286</v>
      </c>
      <c r="V23" s="620" t="s">
        <v>614</v>
      </c>
    </row>
    <row r="24" spans="2:22" ht="15.75" thickBot="1">
      <c r="B24" s="631"/>
      <c r="C24" s="632"/>
      <c r="D24" s="632"/>
      <c r="E24" s="632"/>
      <c r="F24" s="633"/>
      <c r="G24" s="633"/>
      <c r="H24" s="632"/>
      <c r="I24" s="632"/>
      <c r="J24" s="632"/>
      <c r="K24" s="632"/>
      <c r="L24" s="632"/>
      <c r="M24" s="632"/>
      <c r="N24" s="632"/>
      <c r="O24" s="632"/>
      <c r="P24" s="632"/>
      <c r="Q24" s="634"/>
      <c r="S24" s="635"/>
      <c r="T24" s="635"/>
    </row>
    <row r="26" spans="2:22">
      <c r="D26" s="497">
        <f>D12/D7</f>
        <v>-0.91242720776013353</v>
      </c>
      <c r="G26" s="497">
        <f>G12/G7</f>
        <v>-0.79285018536543694</v>
      </c>
      <c r="L26" s="499">
        <f>D26-G26</f>
        <v>-0.11957702239469659</v>
      </c>
      <c r="N26" s="499"/>
      <c r="O26" s="499"/>
      <c r="P26" s="499"/>
    </row>
    <row r="27" spans="2:22">
      <c r="C27" s="498">
        <f>+C23+'YTD Sep SNA vs PY'!C23</f>
        <v>2153133.4749999936</v>
      </c>
      <c r="D27" s="498">
        <f>+D23+'YTD Sep SNA vs PY'!D23</f>
        <v>646179.12877764634</v>
      </c>
      <c r="F27" s="498">
        <f>+F23+'YTD Sep SNA vs PY'!F23</f>
        <v>3564729.978218494</v>
      </c>
      <c r="G27" s="498">
        <f>+G23+'YTD Sep SNA vs PY'!G23</f>
        <v>1090064.8211786717</v>
      </c>
    </row>
    <row r="28" spans="2:22">
      <c r="C28" s="498">
        <f>+C27-'YTD Q1''23 SNA vs Q1''22'!C23</f>
        <v>5.1222741603851318E-9</v>
      </c>
      <c r="D28" s="498">
        <f>+D27-'YTD Q1''23 SNA vs Q1''22'!D23</f>
        <v>0</v>
      </c>
      <c r="F28" s="498">
        <f>+F27-'YTD Q1''23 SNA vs Q1''22'!F23</f>
        <v>0</v>
      </c>
      <c r="G28" s="498">
        <f>+G27-'YTD Q1''23 SNA vs Q1''22'!G23</f>
        <v>0</v>
      </c>
    </row>
  </sheetData>
  <mergeCells count="7">
    <mergeCell ref="S3:V3"/>
    <mergeCell ref="B5:B6"/>
    <mergeCell ref="C5:D5"/>
    <mergeCell ref="E5:E6"/>
    <mergeCell ref="F5:G5"/>
    <mergeCell ref="H5:H6"/>
    <mergeCell ref="J5:L5"/>
  </mergeCells>
  <pageMargins left="0.78740157480314965" right="0.78740157480314965" top="0.86614173228346458" bottom="0.98425196850393704" header="0.51181102362204722" footer="0.51181102362204722"/>
  <pageSetup paperSize="9" scale="98" orientation="portrait" verticalDpi="180"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A01F1F-C424-4901-9CF4-8A52FDEC30CC}">
  <dimension ref="B1:U24"/>
  <sheetViews>
    <sheetView showGridLines="0" topLeftCell="A4" zoomScale="70" zoomScaleNormal="70" workbookViewId="0">
      <selection activeCell="H29" sqref="H29"/>
    </sheetView>
  </sheetViews>
  <sheetFormatPr baseColWidth="10" defaultColWidth="10.375" defaultRowHeight="15"/>
  <cols>
    <col min="1" max="1" width="8.875" style="453" customWidth="1"/>
    <col min="2" max="2" width="24.125" style="453" bestFit="1" customWidth="1"/>
    <col min="3" max="8" width="11.125" style="453" customWidth="1"/>
    <col min="9" max="9" width="2.625" style="453" customWidth="1"/>
    <col min="10" max="12" width="11.125" style="453" customWidth="1"/>
    <col min="13" max="13" width="2" style="453" customWidth="1"/>
    <col min="14" max="14" width="3.875" style="453" customWidth="1"/>
    <col min="15" max="15" width="5" style="453" customWidth="1"/>
    <col min="16" max="16" width="4.125" style="453" customWidth="1"/>
    <col min="17" max="17" width="11.875" style="453" customWidth="1"/>
    <col min="18" max="18" width="30" style="453" customWidth="1"/>
    <col min="19" max="16384" width="10.375" style="453"/>
  </cols>
  <sheetData>
    <row r="1" spans="2:21" ht="15.75" thickBot="1"/>
    <row r="2" spans="2:21">
      <c r="B2" s="621"/>
      <c r="C2" s="622"/>
      <c r="D2" s="622"/>
      <c r="E2" s="622"/>
      <c r="F2" s="622"/>
      <c r="G2" s="622"/>
      <c r="H2" s="623"/>
      <c r="I2" s="623"/>
      <c r="J2" s="623"/>
      <c r="K2" s="623"/>
      <c r="L2" s="623"/>
      <c r="M2" s="624"/>
      <c r="O2" s="625"/>
    </row>
    <row r="3" spans="2:21" ht="21" customHeight="1">
      <c r="B3" s="488" t="s">
        <v>592</v>
      </c>
      <c r="C3" s="448">
        <v>3.2183999999999999</v>
      </c>
      <c r="D3" s="449"/>
      <c r="E3" s="450"/>
      <c r="F3" s="451">
        <v>3.2837000000000001</v>
      </c>
      <c r="G3" s="449"/>
      <c r="H3" s="452"/>
      <c r="I3" s="430"/>
      <c r="J3" s="430"/>
      <c r="K3" s="430"/>
      <c r="L3" s="430"/>
      <c r="M3" s="626"/>
      <c r="O3" s="1261" t="s">
        <v>606</v>
      </c>
      <c r="P3" s="1261"/>
      <c r="Q3" s="1261"/>
      <c r="R3" s="1261"/>
    </row>
    <row r="4" spans="2:21">
      <c r="B4" s="489"/>
      <c r="C4" s="430"/>
      <c r="D4" s="430"/>
      <c r="E4" s="430"/>
      <c r="F4" s="430"/>
      <c r="G4" s="430"/>
      <c r="H4" s="430"/>
      <c r="I4" s="430"/>
      <c r="J4" s="430"/>
      <c r="K4" s="430"/>
      <c r="L4" s="430"/>
      <c r="M4" s="626"/>
    </row>
    <row r="5" spans="2:21">
      <c r="B5" s="1278" t="s">
        <v>170</v>
      </c>
      <c r="C5" s="1262">
        <v>44834</v>
      </c>
      <c r="D5" s="1264"/>
      <c r="E5" s="1265" t="s">
        <v>594</v>
      </c>
      <c r="F5" s="1262">
        <v>44469</v>
      </c>
      <c r="G5" s="1264"/>
      <c r="H5" s="1266" t="s">
        <v>594</v>
      </c>
      <c r="I5" s="430"/>
      <c r="J5" s="1262" t="s">
        <v>593</v>
      </c>
      <c r="K5" s="1262"/>
      <c r="L5" s="1262"/>
      <c r="M5" s="626"/>
    </row>
    <row r="6" spans="2:21">
      <c r="B6" s="1278"/>
      <c r="C6" s="446" t="s">
        <v>521</v>
      </c>
      <c r="D6" s="446" t="s">
        <v>522</v>
      </c>
      <c r="E6" s="1265"/>
      <c r="F6" s="446" t="s">
        <v>521</v>
      </c>
      <c r="G6" s="446" t="s">
        <v>522</v>
      </c>
      <c r="H6" s="1266"/>
      <c r="I6" s="430"/>
      <c r="J6" s="446" t="s">
        <v>521</v>
      </c>
      <c r="K6" s="446" t="s">
        <v>522</v>
      </c>
      <c r="L6" s="446" t="s">
        <v>596</v>
      </c>
      <c r="M6" s="626"/>
    </row>
    <row r="7" spans="2:21" ht="23.1" customHeight="1">
      <c r="B7" s="627" t="s">
        <v>597</v>
      </c>
      <c r="C7" s="757">
        <v>28607427.451000001</v>
      </c>
      <c r="D7" s="431">
        <f>+C7/$C$3</f>
        <v>8888710.9902436007</v>
      </c>
      <c r="F7" s="628">
        <v>23571016.635000002</v>
      </c>
      <c r="G7" s="431">
        <f>+F7/$F$3</f>
        <v>7178188.2129914425</v>
      </c>
      <c r="J7" s="628">
        <f>C7-F7</f>
        <v>5036410.8159999996</v>
      </c>
      <c r="K7" s="431">
        <f>D7-G7</f>
        <v>1710522.7772521582</v>
      </c>
      <c r="L7" s="435">
        <f t="shared" ref="L7:L21" si="0">K7/G7</f>
        <v>0.23829450085418055</v>
      </c>
      <c r="M7" s="626"/>
    </row>
    <row r="8" spans="2:21" ht="23.1" customHeight="1">
      <c r="B8" s="490" t="s">
        <v>600</v>
      </c>
      <c r="C8" s="432">
        <f>SUM(C7:C7)</f>
        <v>28607427.451000001</v>
      </c>
      <c r="D8" s="432">
        <f>SUM(D7:D7)</f>
        <v>8888710.9902436007</v>
      </c>
      <c r="E8" s="430"/>
      <c r="F8" s="432">
        <f>SUM(F7:F7)</f>
        <v>23571016.635000002</v>
      </c>
      <c r="G8" s="432">
        <f>+F8/$F$3</f>
        <v>7178188.2129914425</v>
      </c>
      <c r="H8" s="430"/>
      <c r="I8" s="430"/>
      <c r="J8" s="432">
        <f t="shared" ref="J8:K21" si="1">C8-F8</f>
        <v>5036410.8159999996</v>
      </c>
      <c r="K8" s="432">
        <f t="shared" si="1"/>
        <v>1710522.7772521582</v>
      </c>
      <c r="L8" s="445">
        <f t="shared" si="0"/>
        <v>0.23829450085418055</v>
      </c>
      <c r="M8" s="626"/>
    </row>
    <row r="9" spans="2:21" ht="23.1" customHeight="1">
      <c r="B9" s="489" t="s">
        <v>572</v>
      </c>
      <c r="C9" s="431">
        <v>-24911356.198000003</v>
      </c>
      <c r="D9" s="431">
        <f>+C9/$C$3</f>
        <v>-7740292.132115338</v>
      </c>
      <c r="E9" s="435">
        <f>+D9/$D$8</f>
        <v>-0.87080029270961934</v>
      </c>
      <c r="F9" s="431">
        <v>-21027219.784000002</v>
      </c>
      <c r="G9" s="431">
        <f>+F9/$F$3</f>
        <v>-6403514.2625696631</v>
      </c>
      <c r="H9" s="435">
        <f t="shared" ref="H9:H21" si="2">+G9/$G$8</f>
        <v>-0.89207945968597813</v>
      </c>
      <c r="I9" s="430"/>
      <c r="J9" s="431">
        <f t="shared" si="1"/>
        <v>-3884136.4140000008</v>
      </c>
      <c r="K9" s="431">
        <f t="shared" si="1"/>
        <v>-1336777.8695456749</v>
      </c>
      <c r="L9" s="435">
        <f>-K9/G9</f>
        <v>-0.20875691295942236</v>
      </c>
      <c r="M9" s="626"/>
    </row>
    <row r="10" spans="2:21" ht="50.1" customHeight="1">
      <c r="B10" s="491" t="s">
        <v>574</v>
      </c>
      <c r="C10" s="433">
        <f>C8+C9</f>
        <v>3696071.2529999986</v>
      </c>
      <c r="D10" s="433">
        <f>D8+D9</f>
        <v>1148418.8581282627</v>
      </c>
      <c r="E10" s="461">
        <f>+D10/$D$8</f>
        <v>0.12919970729038063</v>
      </c>
      <c r="F10" s="433">
        <f>F8+F9</f>
        <v>2543796.8509999998</v>
      </c>
      <c r="G10" s="433">
        <f>G8+G9</f>
        <v>774673.95042177942</v>
      </c>
      <c r="H10" s="461">
        <f t="shared" si="2"/>
        <v>0.10792054031402185</v>
      </c>
      <c r="I10" s="430"/>
      <c r="J10" s="433">
        <f t="shared" si="1"/>
        <v>1152274.4019999988</v>
      </c>
      <c r="K10" s="433">
        <f t="shared" si="1"/>
        <v>373744.90770648327</v>
      </c>
      <c r="L10" s="461">
        <f t="shared" si="0"/>
        <v>0.48245446681535359</v>
      </c>
      <c r="M10" s="626"/>
      <c r="O10" s="619">
        <f>E10-H10</f>
        <v>2.1279166976358788E-2</v>
      </c>
      <c r="P10" s="619"/>
      <c r="Q10" s="506">
        <f>-K9</f>
        <v>1336777.8695456749</v>
      </c>
      <c r="R10" s="618" t="s">
        <v>613</v>
      </c>
    </row>
    <row r="11" spans="2:21" ht="20.100000000000001" customHeight="1">
      <c r="B11" s="489" t="s">
        <v>578</v>
      </c>
      <c r="C11" s="431">
        <v>-1173438.8940000001</v>
      </c>
      <c r="D11" s="431">
        <f>+C11/$C$3</f>
        <v>-364603.18605518271</v>
      </c>
      <c r="E11" s="435">
        <f t="shared" ref="E11:E13" si="3">+D11/$D$8</f>
        <v>-4.1018679362550693E-2</v>
      </c>
      <c r="F11" s="431">
        <v>-567670.28</v>
      </c>
      <c r="G11" s="431">
        <f>+F11/$F$3</f>
        <v>-172875.19566342846</v>
      </c>
      <c r="H11" s="435">
        <f t="shared" si="2"/>
        <v>-2.4083402459488361E-2</v>
      </c>
      <c r="I11" s="430"/>
      <c r="J11" s="431">
        <f t="shared" si="1"/>
        <v>-605768.61400000006</v>
      </c>
      <c r="K11" s="431">
        <f t="shared" si="1"/>
        <v>-191727.99039175425</v>
      </c>
      <c r="L11" s="435">
        <f>-K11/G11</f>
        <v>-1.1090543652371645</v>
      </c>
      <c r="M11" s="626"/>
      <c r="N11" s="629"/>
      <c r="T11" s="498">
        <f>K11+160000</f>
        <v>-31727.990391754254</v>
      </c>
    </row>
    <row r="12" spans="2:21" ht="20.100000000000001" customHeight="1">
      <c r="B12" s="489" t="s">
        <v>530</v>
      </c>
      <c r="C12" s="431">
        <v>-120074.78200000001</v>
      </c>
      <c r="D12" s="431">
        <f>+C12/$C$3</f>
        <v>-37308.843524732787</v>
      </c>
      <c r="E12" s="435">
        <f>+D12/$D$8</f>
        <v>-4.1973289001840204E-3</v>
      </c>
      <c r="F12" s="800">
        <v>-700000</v>
      </c>
      <c r="G12" s="431">
        <f>+F12/$F$3</f>
        <v>-213174.16329140909</v>
      </c>
      <c r="H12" s="444">
        <f t="shared" si="2"/>
        <v>-2.9697488692981867E-2</v>
      </c>
      <c r="I12" s="430"/>
      <c r="J12" s="431">
        <f>C12-F12</f>
        <v>579925.21799999999</v>
      </c>
      <c r="K12" s="431">
        <f>D12-G12</f>
        <v>175865.31976667629</v>
      </c>
      <c r="L12" s="435">
        <f>-K12/G12</f>
        <v>0.82498421502547847</v>
      </c>
      <c r="M12" s="626"/>
      <c r="N12" s="629"/>
      <c r="T12" s="498">
        <f>G12+D12</f>
        <v>-250483.00681614189</v>
      </c>
      <c r="U12" s="498">
        <f>T12-T11</f>
        <v>-218755.01642438764</v>
      </c>
    </row>
    <row r="13" spans="2:21" ht="20.100000000000001" customHeight="1">
      <c r="B13" s="489" t="s">
        <v>579</v>
      </c>
      <c r="C13" s="431">
        <v>-752702.92300000007</v>
      </c>
      <c r="D13" s="431">
        <f>+C13/$C$3</f>
        <v>-233874.882861049</v>
      </c>
      <c r="E13" s="435">
        <f t="shared" si="3"/>
        <v>-2.6311450908658638E-2</v>
      </c>
      <c r="F13" s="431">
        <v>-574674.79700000002</v>
      </c>
      <c r="G13" s="431">
        <f>+F13/$F$3</f>
        <v>-175008.31287876482</v>
      </c>
      <c r="H13" s="435">
        <f t="shared" si="2"/>
        <v>-2.4380568980070214E-2</v>
      </c>
      <c r="I13" s="430"/>
      <c r="J13" s="431">
        <f t="shared" si="1"/>
        <v>-178028.12600000005</v>
      </c>
      <c r="K13" s="431">
        <f t="shared" si="1"/>
        <v>-58866.569982284185</v>
      </c>
      <c r="L13" s="435">
        <f>-K13/G13</f>
        <v>-0.33636442186071119</v>
      </c>
      <c r="M13" s="626"/>
      <c r="Q13" s="503">
        <f>K13</f>
        <v>-58866.569982284185</v>
      </c>
      <c r="R13" s="620" t="s">
        <v>2003</v>
      </c>
    </row>
    <row r="14" spans="2:21" ht="20.100000000000001" customHeight="1">
      <c r="B14" s="490" t="s">
        <v>595</v>
      </c>
      <c r="C14" s="432">
        <f>SUM(C9:C13)-C10</f>
        <v>-26957572.797000006</v>
      </c>
      <c r="D14" s="432">
        <f>SUM(D9:D13)-D10</f>
        <v>-8376079.044556302</v>
      </c>
      <c r="E14" s="441">
        <f>D14/D8</f>
        <v>-0.9423277518810127</v>
      </c>
      <c r="F14" s="432">
        <f>SUM(F9:F13)-F10</f>
        <v>-22869564.861000001</v>
      </c>
      <c r="G14" s="432">
        <f>SUM(G9:G13)-G10</f>
        <v>-6964571.9344032658</v>
      </c>
      <c r="H14" s="441">
        <f t="shared" si="2"/>
        <v>-0.97024091981851868</v>
      </c>
      <c r="I14" s="430"/>
      <c r="J14" s="432">
        <f t="shared" si="1"/>
        <v>-4088007.9360000044</v>
      </c>
      <c r="K14" s="432">
        <f>D14-G14</f>
        <v>-1411507.1101530362</v>
      </c>
      <c r="L14" s="445">
        <f>-K14/G14</f>
        <v>-0.20266961465076405</v>
      </c>
      <c r="M14" s="626"/>
    </row>
    <row r="15" spans="2:21" ht="20.100000000000001" customHeight="1">
      <c r="B15" s="492" t="s">
        <v>5</v>
      </c>
      <c r="C15" s="440">
        <f>+C8+C14</f>
        <v>1649854.6539999954</v>
      </c>
      <c r="D15" s="440">
        <f>+D8+D14</f>
        <v>512631.94568729866</v>
      </c>
      <c r="E15" s="442">
        <f>+D15/D8</f>
        <v>5.767224811898735E-2</v>
      </c>
      <c r="F15" s="440">
        <f>+F8+F14</f>
        <v>701451.77400000021</v>
      </c>
      <c r="G15" s="440">
        <f>+F15/$F$3</f>
        <v>213616.27858817804</v>
      </c>
      <c r="H15" s="442">
        <f t="shared" si="2"/>
        <v>2.9759080181481542E-2</v>
      </c>
      <c r="I15" s="430"/>
      <c r="J15" s="440">
        <f t="shared" si="1"/>
        <v>948402.87999999523</v>
      </c>
      <c r="K15" s="440">
        <f t="shared" si="1"/>
        <v>299015.66709912062</v>
      </c>
      <c r="L15" s="442">
        <f>K15/G15</f>
        <v>1.3997794038701541</v>
      </c>
      <c r="M15" s="626"/>
      <c r="O15" s="499"/>
    </row>
    <row r="16" spans="2:21" ht="20.100000000000001" customHeight="1">
      <c r="B16" s="489" t="s">
        <v>580</v>
      </c>
      <c r="C16" s="431">
        <v>-131446.54399999999</v>
      </c>
      <c r="D16" s="431">
        <f>+C16/$C$3</f>
        <v>-40842.202336564755</v>
      </c>
      <c r="E16" s="435">
        <f t="shared" ref="E16:E20" si="4">+D16/$D$8</f>
        <v>-4.594839722136747E-3</v>
      </c>
      <c r="F16" s="431">
        <v>-202459.07799999998</v>
      </c>
      <c r="G16" s="431">
        <f>+F16/$F$3</f>
        <v>-61655.777933428748</v>
      </c>
      <c r="H16" s="435">
        <f t="shared" si="2"/>
        <v>-8.589323113852191E-3</v>
      </c>
      <c r="I16" s="430"/>
      <c r="J16" s="431">
        <f t="shared" si="1"/>
        <v>71012.533999999985</v>
      </c>
      <c r="K16" s="431">
        <f t="shared" si="1"/>
        <v>20813.575596863993</v>
      </c>
      <c r="L16" s="435">
        <f>-K16/G16</f>
        <v>0.33757704945896427</v>
      </c>
      <c r="M16" s="626"/>
    </row>
    <row r="17" spans="2:18" ht="23.1" customHeight="1">
      <c r="B17" s="491" t="s">
        <v>528</v>
      </c>
      <c r="C17" s="433">
        <f>C15+C16</f>
        <v>1518408.1099999954</v>
      </c>
      <c r="D17" s="433">
        <f>D15+D16</f>
        <v>471789.74335073389</v>
      </c>
      <c r="E17" s="461">
        <f>+D17/$D$8</f>
        <v>5.3077408396850601E-2</v>
      </c>
      <c r="F17" s="433">
        <f>F15+F16</f>
        <v>498992.69600000023</v>
      </c>
      <c r="G17" s="433">
        <f>G15+G16</f>
        <v>151960.50065474928</v>
      </c>
      <c r="H17" s="461">
        <f t="shared" si="2"/>
        <v>2.1169757067629351E-2</v>
      </c>
      <c r="I17" s="430"/>
      <c r="J17" s="433">
        <f t="shared" si="1"/>
        <v>1019415.4139999952</v>
      </c>
      <c r="K17" s="433">
        <f t="shared" si="1"/>
        <v>319829.24269598461</v>
      </c>
      <c r="L17" s="461">
        <f t="shared" si="0"/>
        <v>2.1046866871189716</v>
      </c>
      <c r="M17" s="626"/>
      <c r="O17" s="619"/>
    </row>
    <row r="18" spans="2:18" ht="20.100000000000001" customHeight="1">
      <c r="B18" s="489" t="s">
        <v>584</v>
      </c>
      <c r="C18" s="431">
        <v>-223974.08900000001</v>
      </c>
      <c r="D18" s="431">
        <f>+C18/$C$3</f>
        <v>-69591.750248570723</v>
      </c>
      <c r="E18" s="435">
        <f t="shared" si="4"/>
        <v>-7.8292285939947654E-3</v>
      </c>
      <c r="F18" s="431">
        <v>-151685.53099999999</v>
      </c>
      <c r="G18" s="431">
        <f t="shared" ref="G18:G20" si="5">+F18/$F$3</f>
        <v>-46193.48022048299</v>
      </c>
      <c r="H18" s="435">
        <f t="shared" si="2"/>
        <v>-6.4352562025163573E-3</v>
      </c>
      <c r="I18" s="430"/>
      <c r="J18" s="431">
        <f t="shared" si="1"/>
        <v>-72288.558000000019</v>
      </c>
      <c r="K18" s="431">
        <f t="shared" si="1"/>
        <v>-23398.270028087732</v>
      </c>
      <c r="L18" s="435">
        <f>-K18/G18</f>
        <v>-0.50652754277025736</v>
      </c>
      <c r="M18" s="626"/>
    </row>
    <row r="19" spans="2:18" ht="20.100000000000001" customHeight="1">
      <c r="B19" s="489" t="s">
        <v>585</v>
      </c>
      <c r="C19" s="431">
        <v>19664.556000000004</v>
      </c>
      <c r="D19" s="431">
        <f>+C19/$C$3</f>
        <v>6110.0410141685325</v>
      </c>
      <c r="E19" s="435">
        <f t="shared" si="4"/>
        <v>6.8739337130828263E-4</v>
      </c>
      <c r="F19" s="431">
        <v>8098.0129999999999</v>
      </c>
      <c r="G19" s="431">
        <f t="shared" si="5"/>
        <v>2466.124493711362</v>
      </c>
      <c r="H19" s="435">
        <f t="shared" si="2"/>
        <v>3.4355807071874308E-4</v>
      </c>
      <c r="I19" s="430"/>
      <c r="J19" s="431">
        <f t="shared" si="1"/>
        <v>11566.543000000005</v>
      </c>
      <c r="K19" s="431">
        <f t="shared" si="1"/>
        <v>3643.9165204571705</v>
      </c>
      <c r="L19" s="435">
        <f>-K19/G19</f>
        <v>-1.4775882279054395</v>
      </c>
      <c r="M19" s="626"/>
    </row>
    <row r="20" spans="2:18" ht="20.100000000000001" customHeight="1">
      <c r="B20" s="489" t="s">
        <v>586</v>
      </c>
      <c r="C20" s="431">
        <v>-569.00099999999998</v>
      </c>
      <c r="D20" s="431">
        <f>+C20/$C$3</f>
        <v>-176.79623415361669</v>
      </c>
      <c r="E20" s="435">
        <f t="shared" si="4"/>
        <v>-1.9889974412225938E-5</v>
      </c>
      <c r="F20" s="431">
        <v>-574.91800000000001</v>
      </c>
      <c r="G20" s="431">
        <f t="shared" si="5"/>
        <v>-175.08237658738616</v>
      </c>
      <c r="H20" s="435">
        <f t="shared" si="2"/>
        <v>-2.4390886863416783E-5</v>
      </c>
      <c r="I20" s="430"/>
      <c r="J20" s="431">
        <f t="shared" si="1"/>
        <v>5.91700000000003</v>
      </c>
      <c r="K20" s="431">
        <f t="shared" si="1"/>
        <v>-1.71385756623053</v>
      </c>
      <c r="L20" s="435">
        <f>-K20/G20</f>
        <v>-9.7888639601320399E-3</v>
      </c>
      <c r="M20" s="626"/>
      <c r="N20" s="630"/>
    </row>
    <row r="21" spans="2:18" ht="20.100000000000001" customHeight="1">
      <c r="B21" s="491" t="s">
        <v>529</v>
      </c>
      <c r="C21" s="433">
        <f>C17+C18+C19+C20</f>
        <v>1313529.5759999957</v>
      </c>
      <c r="D21" s="433">
        <f>D17+D18+D19+D20</f>
        <v>408131.2378821781</v>
      </c>
      <c r="E21" s="461">
        <f>+D21/$D$8</f>
        <v>4.5915683199751894E-2</v>
      </c>
      <c r="F21" s="433">
        <f>F17+F18+F19+F20</f>
        <v>354830.26000000024</v>
      </c>
      <c r="G21" s="433">
        <f>G17+G18+G19+G20</f>
        <v>108058.06255139028</v>
      </c>
      <c r="H21" s="461">
        <f t="shared" si="2"/>
        <v>1.505366804896832E-2</v>
      </c>
      <c r="I21" s="430"/>
      <c r="J21" s="433">
        <f t="shared" si="1"/>
        <v>958699.31599999545</v>
      </c>
      <c r="K21" s="433">
        <f t="shared" si="1"/>
        <v>300073.17533078784</v>
      </c>
      <c r="L21" s="461">
        <f t="shared" si="0"/>
        <v>2.7769623871247826</v>
      </c>
      <c r="M21" s="626"/>
      <c r="O21" s="619">
        <f>E21-H21</f>
        <v>3.0862015150783573E-2</v>
      </c>
      <c r="P21" s="595"/>
      <c r="Q21" s="503">
        <f>K18+K19+K20</f>
        <v>-19756.067365196795</v>
      </c>
      <c r="R21" s="620" t="s">
        <v>614</v>
      </c>
    </row>
    <row r="22" spans="2:18" ht="15.75" thickBot="1">
      <c r="B22" s="631"/>
      <c r="C22" s="632"/>
      <c r="D22" s="632"/>
      <c r="E22" s="632"/>
      <c r="F22" s="633"/>
      <c r="G22" s="633"/>
      <c r="H22" s="632"/>
      <c r="I22" s="632"/>
      <c r="J22" s="632"/>
      <c r="K22" s="632"/>
      <c r="L22" s="632"/>
      <c r="M22" s="634"/>
      <c r="O22" s="635"/>
      <c r="P22" s="635"/>
    </row>
    <row r="24" spans="2:18">
      <c r="D24" s="497">
        <f>D9/D7</f>
        <v>-0.87080029270961934</v>
      </c>
      <c r="G24" s="497">
        <f>G9/G7</f>
        <v>-0.89207945968597813</v>
      </c>
      <c r="L24" s="499">
        <f>D24-G24</f>
        <v>2.1279166976358788E-2</v>
      </c>
    </row>
  </sheetData>
  <mergeCells count="7">
    <mergeCell ref="O3:R3"/>
    <mergeCell ref="B5:B6"/>
    <mergeCell ref="C5:D5"/>
    <mergeCell ref="E5:E6"/>
    <mergeCell ref="F5:G5"/>
    <mergeCell ref="H5:H6"/>
    <mergeCell ref="J5:L5"/>
  </mergeCells>
  <pageMargins left="0.78740157480314965" right="0.78740157480314965" top="0.86614173228346458" bottom="0.98425196850393704" header="0.51181102362204722" footer="0.51181102362204722"/>
  <pageSetup paperSize="9" scale="98" orientation="portrait" verticalDpi="180"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0AE698-5500-4ED9-870C-ACB6D7E64317}">
  <dimension ref="B1:Y24"/>
  <sheetViews>
    <sheetView showGridLines="0" zoomScale="70" zoomScaleNormal="70" workbookViewId="0">
      <selection activeCell="C47" sqref="C47"/>
    </sheetView>
  </sheetViews>
  <sheetFormatPr baseColWidth="10" defaultColWidth="10.375" defaultRowHeight="15"/>
  <cols>
    <col min="1" max="1" width="8.875" style="453" customWidth="1"/>
    <col min="2" max="2" width="26.75" style="453" customWidth="1"/>
    <col min="3" max="8" width="11.125" style="453" customWidth="1"/>
    <col min="9" max="9" width="2.625" style="453" customWidth="1"/>
    <col min="10" max="12" width="11.125" style="453" customWidth="1"/>
    <col min="13" max="13" width="2.625" style="453" customWidth="1"/>
    <col min="14" max="14" width="11.125" style="453" customWidth="1"/>
    <col min="15" max="15" width="13" style="453" bestFit="1" customWidth="1"/>
    <col min="16" max="16" width="13" style="453" customWidth="1"/>
    <col min="17" max="17" width="2" style="453" customWidth="1"/>
    <col min="18" max="18" width="3.875" style="453" customWidth="1"/>
    <col min="19" max="19" width="5" style="453" customWidth="1"/>
    <col min="20" max="20" width="4.125" style="453" customWidth="1"/>
    <col min="21" max="21" width="11.875" style="453" customWidth="1"/>
    <col min="22" max="22" width="30" style="453" customWidth="1"/>
    <col min="23" max="16384" width="10.375" style="453"/>
  </cols>
  <sheetData>
    <row r="1" spans="2:25" ht="15.75" thickBot="1"/>
    <row r="2" spans="2:25">
      <c r="B2" s="621"/>
      <c r="C2" s="622"/>
      <c r="D2" s="622"/>
      <c r="E2" s="622"/>
      <c r="F2" s="622"/>
      <c r="G2" s="622"/>
      <c r="H2" s="623"/>
      <c r="I2" s="623"/>
      <c r="J2" s="623"/>
      <c r="K2" s="623"/>
      <c r="L2" s="623"/>
      <c r="M2" s="623"/>
      <c r="N2" s="623"/>
      <c r="O2" s="623"/>
      <c r="P2" s="623"/>
      <c r="Q2" s="624"/>
      <c r="S2" s="625"/>
    </row>
    <row r="3" spans="2:25" ht="21" customHeight="1">
      <c r="B3" s="488" t="s">
        <v>592</v>
      </c>
      <c r="C3" s="762" t="s">
        <v>2005</v>
      </c>
      <c r="D3" s="449"/>
      <c r="E3" s="450"/>
      <c r="F3" s="451"/>
      <c r="G3" s="449"/>
      <c r="H3" s="452"/>
      <c r="I3" s="430"/>
      <c r="J3" s="430"/>
      <c r="K3" s="430"/>
      <c r="L3" s="430"/>
      <c r="M3" s="430"/>
      <c r="N3" s="430"/>
      <c r="O3" s="430"/>
      <c r="P3" s="430"/>
      <c r="Q3" s="626"/>
      <c r="S3" s="1261" t="s">
        <v>606</v>
      </c>
      <c r="T3" s="1261"/>
      <c r="U3" s="1261"/>
      <c r="V3" s="1261"/>
    </row>
    <row r="4" spans="2:25">
      <c r="B4" s="489"/>
      <c r="C4" s="430"/>
      <c r="D4" s="430"/>
      <c r="E4" s="430"/>
      <c r="F4" s="430"/>
      <c r="G4" s="430"/>
      <c r="H4" s="430"/>
      <c r="I4" s="430"/>
      <c r="J4" s="430"/>
      <c r="K4" s="430"/>
      <c r="L4" s="430"/>
      <c r="M4" s="430"/>
      <c r="N4" s="430"/>
      <c r="O4" s="430"/>
      <c r="P4" s="430"/>
      <c r="Q4" s="626"/>
    </row>
    <row r="5" spans="2:25">
      <c r="B5" s="1278" t="s">
        <v>170</v>
      </c>
      <c r="C5" s="1262" t="s">
        <v>2004</v>
      </c>
      <c r="D5" s="1264"/>
      <c r="E5" s="1265" t="s">
        <v>594</v>
      </c>
      <c r="F5" s="1262" t="s">
        <v>2011</v>
      </c>
      <c r="G5" s="1264"/>
      <c r="H5" s="1266" t="s">
        <v>594</v>
      </c>
      <c r="I5" s="430"/>
      <c r="J5" s="1262" t="s">
        <v>593</v>
      </c>
      <c r="K5" s="1262"/>
      <c r="L5" s="1262"/>
      <c r="M5" s="430"/>
      <c r="N5" s="708" t="s">
        <v>2006</v>
      </c>
      <c r="O5" s="708" t="s">
        <v>2007</v>
      </c>
      <c r="P5" s="708"/>
      <c r="Q5" s="626"/>
    </row>
    <row r="6" spans="2:25">
      <c r="B6" s="1278"/>
      <c r="C6" s="446" t="s">
        <v>521</v>
      </c>
      <c r="D6" s="446" t="s">
        <v>522</v>
      </c>
      <c r="E6" s="1265"/>
      <c r="F6" s="446" t="s">
        <v>521</v>
      </c>
      <c r="G6" s="446" t="s">
        <v>522</v>
      </c>
      <c r="H6" s="1266"/>
      <c r="I6" s="430"/>
      <c r="J6" s="446" t="s">
        <v>521</v>
      </c>
      <c r="K6" s="446" t="s">
        <v>522</v>
      </c>
      <c r="L6" s="446" t="s">
        <v>596</v>
      </c>
      <c r="M6" s="430"/>
      <c r="N6" s="446" t="s">
        <v>216</v>
      </c>
      <c r="O6" s="446" t="s">
        <v>216</v>
      </c>
      <c r="P6" s="446" t="s">
        <v>596</v>
      </c>
      <c r="Q6" s="626"/>
    </row>
    <row r="7" spans="2:25" s="502" customFormat="1" ht="23.1" customHeight="1">
      <c r="B7" s="759" t="s">
        <v>597</v>
      </c>
      <c r="C7" s="431">
        <f>'YTD Q1''23 SND vs Q1''22'!C7-'YTD Sep SND vs PY'!C7</f>
        <v>11065246.940999996</v>
      </c>
      <c r="D7" s="431">
        <f>'YTD Q1''23 SND vs Q1''22'!D7-'YTD Sep SND vs PY'!D7</f>
        <v>3276716.1331196819</v>
      </c>
      <c r="F7" s="431">
        <f>'YTD Q1''23 SND vs Q1''22'!F7-'YTD Sep SND vs PY'!F7</f>
        <v>9473785.8979999982</v>
      </c>
      <c r="G7" s="431">
        <f>'YTD Q1''23 SND vs Q1''22'!G7-'YTD Sep SND vs PY'!G7</f>
        <v>2846324.1438220497</v>
      </c>
      <c r="J7" s="760">
        <f>C7-F7</f>
        <v>1591461.0429999977</v>
      </c>
      <c r="K7" s="431">
        <f>D7-G7</f>
        <v>430391.98929763213</v>
      </c>
      <c r="L7" s="435">
        <f t="shared" ref="L7:L21" si="0">K7/G7</f>
        <v>0.151209759518008</v>
      </c>
      <c r="N7" s="758"/>
      <c r="O7" s="758"/>
      <c r="P7" s="435"/>
      <c r="Q7" s="761"/>
    </row>
    <row r="8" spans="2:25" ht="23.1" customHeight="1">
      <c r="B8" s="490" t="s">
        <v>600</v>
      </c>
      <c r="C8" s="432">
        <f>SUM(C7:C7)</f>
        <v>11065246.940999996</v>
      </c>
      <c r="D8" s="432">
        <f>SUM(D7:D7)</f>
        <v>3276716.1331196819</v>
      </c>
      <c r="E8" s="430"/>
      <c r="F8" s="432">
        <f>SUM(F7:F7)</f>
        <v>9473785.8979999982</v>
      </c>
      <c r="G8" s="432">
        <f>SUM(G7:G7)</f>
        <v>2846324.1438220497</v>
      </c>
      <c r="H8" s="430"/>
      <c r="I8" s="430"/>
      <c r="J8" s="432">
        <f t="shared" ref="J8:K21" si="1">C8-F8</f>
        <v>1591461.0429999977</v>
      </c>
      <c r="K8" s="432">
        <f t="shared" si="1"/>
        <v>430391.98929763213</v>
      </c>
      <c r="L8" s="445">
        <f t="shared" si="0"/>
        <v>0.151209759518008</v>
      </c>
      <c r="M8" s="430"/>
      <c r="N8" s="432">
        <f>'FY22 Fcst'!E6*1000</f>
        <v>3544903.7098079971</v>
      </c>
      <c r="O8" s="432">
        <f>D8-N8</f>
        <v>-268187.57668831525</v>
      </c>
      <c r="P8" s="445">
        <f>O8/N8</f>
        <v>-7.5654403798415482E-2</v>
      </c>
      <c r="Q8" s="626"/>
    </row>
    <row r="9" spans="2:25" ht="23.1" customHeight="1">
      <c r="B9" s="489" t="s">
        <v>572</v>
      </c>
      <c r="C9" s="431">
        <f>'YTD Q1''23 SND vs Q1''22'!C9-'YTD Sep SND vs PY'!C9</f>
        <v>-9583314.6830000021</v>
      </c>
      <c r="D9" s="431">
        <f>'YTD Q1''23 SND vs Q1''22'!D9-'YTD Sep SND vs PY'!D9</f>
        <v>-2837326.1197015345</v>
      </c>
      <c r="E9" s="435">
        <f>+D9/$D$8</f>
        <v>-0.86590537734502659</v>
      </c>
      <c r="F9" s="431">
        <f>'YTD Q1''23 SND vs Q1''22'!F9-'YTD Sep SND vs PY'!F9</f>
        <v>-8231157.3779999986</v>
      </c>
      <c r="G9" s="431">
        <f>'YTD Q1''23 SND vs Q1''22'!G9-'YTD Sep SND vs PY'!G9</f>
        <v>-2472343.3888075957</v>
      </c>
      <c r="H9" s="435">
        <f t="shared" ref="H9:H21" si="2">+G9/$G$8</f>
        <v>-0.86860921802382218</v>
      </c>
      <c r="I9" s="430"/>
      <c r="J9" s="431">
        <f t="shared" si="1"/>
        <v>-1352157.3050000034</v>
      </c>
      <c r="K9" s="431">
        <f t="shared" si="1"/>
        <v>-364982.7308939388</v>
      </c>
      <c r="L9" s="435">
        <f>-K9/G9</f>
        <v>-0.14762622884273732</v>
      </c>
      <c r="M9" s="430"/>
      <c r="N9" s="758"/>
      <c r="O9" s="758"/>
      <c r="P9" s="435"/>
      <c r="Q9" s="626"/>
    </row>
    <row r="10" spans="2:25" ht="50.1" customHeight="1">
      <c r="B10" s="491" t="s">
        <v>574</v>
      </c>
      <c r="C10" s="433">
        <f>C8+C9</f>
        <v>1481932.2579999939</v>
      </c>
      <c r="D10" s="433">
        <f>D8+D9</f>
        <v>439390.01341814734</v>
      </c>
      <c r="E10" s="461">
        <f>+D10/$D$8</f>
        <v>0.13409462265497341</v>
      </c>
      <c r="F10" s="433">
        <f>F8+F9</f>
        <v>1242628.5199999996</v>
      </c>
      <c r="G10" s="433">
        <f>G8+G9</f>
        <v>373980.75501445401</v>
      </c>
      <c r="H10" s="461">
        <f t="shared" si="2"/>
        <v>0.13139078197617785</v>
      </c>
      <c r="I10" s="430"/>
      <c r="J10" s="433">
        <f t="shared" si="1"/>
        <v>239303.73799999431</v>
      </c>
      <c r="K10" s="433">
        <f t="shared" si="1"/>
        <v>65409.258403693326</v>
      </c>
      <c r="L10" s="461">
        <f t="shared" si="0"/>
        <v>0.17490006511475523</v>
      </c>
      <c r="M10" s="430"/>
      <c r="N10" s="433"/>
      <c r="O10" s="433"/>
      <c r="P10" s="461"/>
      <c r="Q10" s="626"/>
      <c r="S10" s="619">
        <f>E10-H10</f>
        <v>2.7038406787955604E-3</v>
      </c>
      <c r="T10" s="619"/>
      <c r="U10" s="506">
        <f>-K9</f>
        <v>364982.7308939388</v>
      </c>
      <c r="V10" s="618"/>
    </row>
    <row r="11" spans="2:25" ht="20.100000000000001" customHeight="1">
      <c r="B11" s="489" t="s">
        <v>578</v>
      </c>
      <c r="C11" s="431">
        <f>'YTD Q1''23 SND vs Q1''22'!C11-'YTD Sep SND vs PY'!C11</f>
        <v>-103317.02500000014</v>
      </c>
      <c r="D11" s="431">
        <f>'YTD Q1''23 SND vs Q1''22'!D11-'YTD Sep SND vs PY'!D11</f>
        <v>-26907.629007219628</v>
      </c>
      <c r="E11" s="435">
        <f t="shared" ref="E11:E13" si="3">+D11/$D$8</f>
        <v>-8.2117668769804385E-3</v>
      </c>
      <c r="F11" s="431">
        <f>'YTD Q1''23 SND vs Q1''22'!F11-'YTD Sep SND vs PY'!F11</f>
        <v>-204242.0199999999</v>
      </c>
      <c r="G11" s="431">
        <f>'YTD Q1''23 SND vs Q1''22'!G11-'YTD Sep SND vs PY'!G11</f>
        <v>-61293.078817823785</v>
      </c>
      <c r="H11" s="435">
        <f t="shared" si="2"/>
        <v>-2.1534117591933615E-2</v>
      </c>
      <c r="I11" s="430"/>
      <c r="J11" s="431">
        <f t="shared" si="1"/>
        <v>100924.99499999976</v>
      </c>
      <c r="K11" s="431">
        <f t="shared" si="1"/>
        <v>34385.449810604157</v>
      </c>
      <c r="L11" s="435">
        <f>-K11/G11</f>
        <v>0.56100053176974696</v>
      </c>
      <c r="M11" s="430"/>
      <c r="N11" s="758"/>
      <c r="O11" s="758"/>
      <c r="P11" s="435"/>
      <c r="Q11" s="626"/>
      <c r="R11" s="629"/>
      <c r="X11" s="498">
        <f>K11+160000</f>
        <v>194385.44981060416</v>
      </c>
    </row>
    <row r="12" spans="2:25" ht="20.100000000000001" customHeight="1">
      <c r="B12" s="489" t="s">
        <v>2018</v>
      </c>
      <c r="C12" s="431">
        <f>'YTD Q1''23 SND vs Q1''22'!C12-'YTD Sep SND vs PY'!C12</f>
        <v>-67265.627999999997</v>
      </c>
      <c r="D12" s="431">
        <f>'YTD Q1''23 SND vs Q1''22'!D12-'YTD Sep SND vs PY'!D12</f>
        <v>-20138.155953970723</v>
      </c>
      <c r="E12" s="435">
        <f>+D12/$D$8</f>
        <v>-6.1458347735474034E-3</v>
      </c>
      <c r="F12" s="431">
        <f>'YTD Q1''23 SND vs Q1''22'!F12-'YTD Sep SND vs PY'!F12</f>
        <v>-128323.56000000006</v>
      </c>
      <c r="G12" s="431">
        <f>'YTD Q1''23 SND vs Q1''22'!G12-'YTD Sep SND vs PY'!G12</f>
        <v>-38107.101118249935</v>
      </c>
      <c r="H12" s="444">
        <f t="shared" si="2"/>
        <v>-1.3388180401364844E-2</v>
      </c>
      <c r="I12" s="430"/>
      <c r="J12" s="431">
        <f>C12-F12</f>
        <v>61057.932000000059</v>
      </c>
      <c r="K12" s="431">
        <f>D12-G12</f>
        <v>17968.945164279212</v>
      </c>
      <c r="L12" s="435">
        <f>-K12/G12</f>
        <v>0.47153797158487276</v>
      </c>
      <c r="M12" s="430"/>
      <c r="N12" s="758"/>
      <c r="O12" s="758"/>
      <c r="P12" s="435"/>
      <c r="Q12" s="626"/>
      <c r="R12" s="629"/>
      <c r="X12" s="498">
        <f>G12+D12</f>
        <v>-58245.257072220658</v>
      </c>
      <c r="Y12" s="498">
        <f>X12-X11</f>
        <v>-252630.70688282483</v>
      </c>
    </row>
    <row r="13" spans="2:25" ht="20.100000000000001" customHeight="1">
      <c r="B13" s="489" t="s">
        <v>579</v>
      </c>
      <c r="C13" s="431">
        <f>'YTD Q1''23 SND vs Q1''22'!C13-'YTD Sep SND vs PY'!C13</f>
        <v>-511557.37704999943</v>
      </c>
      <c r="D13" s="431">
        <f>'YTD Q1''23 SND vs Q1''22'!D13-'YTD Sep SND vs PY'!D13</f>
        <v>-153804.21316483172</v>
      </c>
      <c r="E13" s="435">
        <f t="shared" si="3"/>
        <v>-4.6938522263263144E-2</v>
      </c>
      <c r="F13" s="431">
        <f>'YTD Q1''23 SND vs Q1''22'!F13-'YTD Sep SND vs PY'!F13</f>
        <v>-388833.69000000018</v>
      </c>
      <c r="G13" s="431">
        <f>'YTD Q1''23 SND vs Q1''22'!G13-'YTD Sep SND vs PY'!G13</f>
        <v>-117282.81896203122</v>
      </c>
      <c r="H13" s="435">
        <f t="shared" si="2"/>
        <v>-4.1205011458935105E-2</v>
      </c>
      <c r="I13" s="430"/>
      <c r="J13" s="431">
        <f t="shared" si="1"/>
        <v>-122723.68704999925</v>
      </c>
      <c r="K13" s="431">
        <f t="shared" si="1"/>
        <v>-36521.394202800497</v>
      </c>
      <c r="L13" s="435">
        <f>-K13/G13</f>
        <v>-0.31139594465770659</v>
      </c>
      <c r="M13" s="430"/>
      <c r="N13" s="758"/>
      <c r="O13" s="758"/>
      <c r="P13" s="435"/>
      <c r="Q13" s="626"/>
      <c r="U13" s="503">
        <f>K13</f>
        <v>-36521.394202800497</v>
      </c>
      <c r="V13" s="620"/>
    </row>
    <row r="14" spans="2:25" ht="20.100000000000001" customHeight="1">
      <c r="B14" s="490" t="s">
        <v>595</v>
      </c>
      <c r="C14" s="432">
        <f>SUM(C9:C13)-C10</f>
        <v>-10265454.713050002</v>
      </c>
      <c r="D14" s="432">
        <f>SUM(D9:D13)-D10</f>
        <v>-3038176.1178275566</v>
      </c>
      <c r="E14" s="441">
        <f>D14/D8</f>
        <v>-0.92720150125881762</v>
      </c>
      <c r="F14" s="432">
        <f>SUM(F9:F13)-F10</f>
        <v>-8952556.6479999982</v>
      </c>
      <c r="G14" s="432">
        <f>SUM(G9:G13)-G10</f>
        <v>-2689026.3877057005</v>
      </c>
      <c r="H14" s="441">
        <f t="shared" si="2"/>
        <v>-0.94473652747605563</v>
      </c>
      <c r="I14" s="430"/>
      <c r="J14" s="432">
        <f t="shared" si="1"/>
        <v>-1312898.0650500041</v>
      </c>
      <c r="K14" s="432">
        <f>D14-G14</f>
        <v>-349149.73012185609</v>
      </c>
      <c r="L14" s="445">
        <f>-K14/G14</f>
        <v>-0.12984243357305003</v>
      </c>
      <c r="M14" s="430"/>
      <c r="N14" s="432"/>
      <c r="O14" s="432"/>
      <c r="P14" s="445"/>
      <c r="Q14" s="626"/>
    </row>
    <row r="15" spans="2:25" ht="20.100000000000001" customHeight="1">
      <c r="B15" s="492" t="s">
        <v>5</v>
      </c>
      <c r="C15" s="440">
        <f>+C8+C14</f>
        <v>799792.22794999368</v>
      </c>
      <c r="D15" s="440">
        <f>+D8+D14</f>
        <v>238540.01529212529</v>
      </c>
      <c r="E15" s="442">
        <f>+D15/D8</f>
        <v>7.2798498741182424E-2</v>
      </c>
      <c r="F15" s="440">
        <f>+F8+F14</f>
        <v>521229.25</v>
      </c>
      <c r="G15" s="440">
        <f>+G8+G14</f>
        <v>157297.75611634925</v>
      </c>
      <c r="H15" s="442">
        <f t="shared" si="2"/>
        <v>5.526347252394434E-2</v>
      </c>
      <c r="I15" s="430"/>
      <c r="J15" s="440">
        <f t="shared" si="1"/>
        <v>278562.97794999368</v>
      </c>
      <c r="K15" s="440">
        <f t="shared" si="1"/>
        <v>81242.259175776038</v>
      </c>
      <c r="L15" s="442">
        <f>K15/G15</f>
        <v>0.51648708272534516</v>
      </c>
      <c r="M15" s="430"/>
      <c r="N15" s="440">
        <f>'FY22 Fcst'!E13*1000</f>
        <v>537687.52306720661</v>
      </c>
      <c r="O15" s="440">
        <f>D15-N15</f>
        <v>-299147.50777508132</v>
      </c>
      <c r="P15" s="442">
        <f>O15/N15</f>
        <v>-0.55635940010028895</v>
      </c>
      <c r="Q15" s="626"/>
      <c r="S15" s="499"/>
    </row>
    <row r="16" spans="2:25" ht="20.100000000000001" customHeight="1">
      <c r="B16" s="489" t="s">
        <v>580</v>
      </c>
      <c r="C16" s="431">
        <f>'YTD Q1''23 SND vs Q1''22'!C16-'YTD Sep SND vs PY'!C16</f>
        <v>-41331.061000000016</v>
      </c>
      <c r="D16" s="431">
        <f>'YTD Q1''23 SND vs Q1''22'!D16-'YTD Sep SND vs PY'!D16</f>
        <v>-12139.185845337066</v>
      </c>
      <c r="E16" s="435">
        <f t="shared" ref="E16:E20" si="4">+D16/$D$8</f>
        <v>-3.7046803421996893E-3</v>
      </c>
      <c r="F16" s="431">
        <f>'YTD Q1''23 SND vs Q1''22'!F16-'YTD Sep SND vs PY'!F16</f>
        <v>44249.716999999975</v>
      </c>
      <c r="G16" s="431">
        <f>'YTD Q1''23 SND vs Q1''22'!G16-'YTD Sep SND vs PY'!G16</f>
        <v>13661.18959463491</v>
      </c>
      <c r="H16" s="435">
        <f t="shared" si="2"/>
        <v>4.7995902449433038E-3</v>
      </c>
      <c r="I16" s="430"/>
      <c r="J16" s="431">
        <f t="shared" si="1"/>
        <v>-85580.777999999991</v>
      </c>
      <c r="K16" s="431">
        <f t="shared" si="1"/>
        <v>-25800.375439971976</v>
      </c>
      <c r="L16" s="435">
        <f>-K16/G16</f>
        <v>1.8885892228671233</v>
      </c>
      <c r="M16" s="430"/>
      <c r="N16" s="758"/>
      <c r="O16" s="758"/>
      <c r="P16" s="435"/>
      <c r="Q16" s="626"/>
    </row>
    <row r="17" spans="2:22" ht="23.1" customHeight="1">
      <c r="B17" s="491" t="s">
        <v>528</v>
      </c>
      <c r="C17" s="433">
        <f>C15+C16</f>
        <v>758461.1669499937</v>
      </c>
      <c r="D17" s="433">
        <f>D15+D16</f>
        <v>226400.82944678824</v>
      </c>
      <c r="E17" s="461">
        <f>+D17/$D$8</f>
        <v>6.9093818398982737E-2</v>
      </c>
      <c r="F17" s="433">
        <f>F15+F16</f>
        <v>565478.96699999995</v>
      </c>
      <c r="G17" s="433">
        <f>G15+G16</f>
        <v>170958.94571098418</v>
      </c>
      <c r="H17" s="461">
        <f t="shared" si="2"/>
        <v>6.0063062768887648E-2</v>
      </c>
      <c r="I17" s="430"/>
      <c r="J17" s="433">
        <f t="shared" si="1"/>
        <v>192982.19994999375</v>
      </c>
      <c r="K17" s="433">
        <f t="shared" si="1"/>
        <v>55441.883735804062</v>
      </c>
      <c r="L17" s="461">
        <f t="shared" si="0"/>
        <v>0.32429940126989154</v>
      </c>
      <c r="M17" s="430"/>
      <c r="N17" s="433"/>
      <c r="O17" s="433"/>
      <c r="P17" s="461"/>
      <c r="Q17" s="626"/>
      <c r="S17" s="619"/>
    </row>
    <row r="18" spans="2:22" ht="20.100000000000001" customHeight="1">
      <c r="B18" s="489" t="s">
        <v>584</v>
      </c>
      <c r="C18" s="431">
        <f>'YTD Q1''23 SND vs Q1''22'!C18-'YTD Sep SND vs PY'!C18</f>
        <v>-117608.16800000003</v>
      </c>
      <c r="D18" s="431">
        <f>'YTD Q1''23 SND vs Q1''22'!D18-'YTD Sep SND vs PY'!D18</f>
        <v>-35152.739954121644</v>
      </c>
      <c r="E18" s="435">
        <f t="shared" si="4"/>
        <v>-1.0728039453528607E-2</v>
      </c>
      <c r="F18" s="431">
        <f>'YTD Q1''23 SND vs Q1''22'!F18-'YTD Sep SND vs PY'!F18</f>
        <v>-52381.065000000002</v>
      </c>
      <c r="G18" s="431">
        <f>'YTD Q1''23 SND vs Q1''22'!G18-'YTD Sep SND vs PY'!G18</f>
        <v>-15712.415908627547</v>
      </c>
      <c r="H18" s="435">
        <f t="shared" si="2"/>
        <v>-5.5202482622126389E-3</v>
      </c>
      <c r="I18" s="430"/>
      <c r="J18" s="431">
        <f t="shared" si="1"/>
        <v>-65227.103000000032</v>
      </c>
      <c r="K18" s="431">
        <f t="shared" si="1"/>
        <v>-19440.324045494097</v>
      </c>
      <c r="L18" s="435">
        <f>-K18/G18</f>
        <v>-1.2372587486574607</v>
      </c>
      <c r="M18" s="430"/>
      <c r="N18" s="758"/>
      <c r="O18" s="758"/>
      <c r="P18" s="435"/>
      <c r="Q18" s="626"/>
    </row>
    <row r="19" spans="2:22" ht="20.100000000000001" customHeight="1">
      <c r="B19" s="489" t="s">
        <v>585</v>
      </c>
      <c r="C19" s="431">
        <f>'YTD Q1''23 SND vs Q1''22'!C19-'YTD Sep SND vs PY'!C19</f>
        <v>18565.825999999994</v>
      </c>
      <c r="D19" s="431">
        <f>'YTD Q1''23 SND vs Q1''22'!D19-'YTD Sep SND vs PY'!D19</f>
        <v>5613.1143628514919</v>
      </c>
      <c r="E19" s="435">
        <f t="shared" si="4"/>
        <v>1.7130304044700334E-3</v>
      </c>
      <c r="F19" s="431">
        <f>'YTD Q1''23 SND vs Q1''22'!F19-'YTD Sep SND vs PY'!F19</f>
        <v>25795.779000000002</v>
      </c>
      <c r="G19" s="431">
        <f>'YTD Q1''23 SND vs Q1''22'!G19-'YTD Sep SND vs PY'!G19</f>
        <v>7815.9383627380976</v>
      </c>
      <c r="H19" s="435">
        <f t="shared" si="2"/>
        <v>2.7459762022194844E-3</v>
      </c>
      <c r="I19" s="430"/>
      <c r="J19" s="431">
        <f t="shared" si="1"/>
        <v>-7229.9530000000086</v>
      </c>
      <c r="K19" s="431">
        <f t="shared" si="1"/>
        <v>-2202.8239998866056</v>
      </c>
      <c r="L19" s="435">
        <f>-K19/G19</f>
        <v>0.28183743239179121</v>
      </c>
      <c r="M19" s="430"/>
      <c r="N19" s="758"/>
      <c r="O19" s="758"/>
      <c r="P19" s="435"/>
      <c r="Q19" s="626"/>
    </row>
    <row r="20" spans="2:22" ht="20.100000000000001" customHeight="1">
      <c r="B20" s="489" t="s">
        <v>586</v>
      </c>
      <c r="C20" s="431">
        <f>'YTD Q1''23 SND vs Q1''22'!C20-'YTD Sep SND vs PY'!C20</f>
        <v>-249.08600000000001</v>
      </c>
      <c r="D20" s="431">
        <f>'YTD Q1''23 SND vs Q1''22'!D20-'YTD Sep SND vs PY'!D20</f>
        <v>-74.066051578191605</v>
      </c>
      <c r="E20" s="435">
        <f t="shared" si="4"/>
        <v>-2.2603743677873955E-5</v>
      </c>
      <c r="F20" s="431">
        <f>'YTD Q1''23 SND vs Q1''22'!F20-'YTD Sep SND vs PY'!F20</f>
        <v>-22237.119999999999</v>
      </c>
      <c r="G20" s="431">
        <f>'YTD Q1''23 SND vs Q1''22'!G20-'YTD Sep SND vs PY'!G20</f>
        <v>-6745.2058165930521</v>
      </c>
      <c r="H20" s="435">
        <f t="shared" si="2"/>
        <v>-2.3697953837174624E-3</v>
      </c>
      <c r="I20" s="430"/>
      <c r="J20" s="431">
        <f t="shared" si="1"/>
        <v>21988.034</v>
      </c>
      <c r="K20" s="431">
        <f t="shared" si="1"/>
        <v>6671.1397650148601</v>
      </c>
      <c r="L20" s="435">
        <f>-K20/G20</f>
        <v>0.9890194526909778</v>
      </c>
      <c r="M20" s="430"/>
      <c r="N20" s="758"/>
      <c r="O20" s="758"/>
      <c r="P20" s="435"/>
      <c r="Q20" s="626"/>
      <c r="R20" s="630"/>
    </row>
    <row r="21" spans="2:22" ht="20.100000000000001" customHeight="1">
      <c r="B21" s="491" t="s">
        <v>529</v>
      </c>
      <c r="C21" s="433">
        <f>C17+C18+C19+C20</f>
        <v>659169.73894999363</v>
      </c>
      <c r="D21" s="433">
        <f>D17+D18+D19+D20</f>
        <v>196787.1378039399</v>
      </c>
      <c r="E21" s="461">
        <f>+D21/$D$8</f>
        <v>6.0056205606246291E-2</v>
      </c>
      <c r="F21" s="433">
        <f>F17+F18+F19+F20</f>
        <v>516656.56099999999</v>
      </c>
      <c r="G21" s="433">
        <f>G17+G18+G19+G20</f>
        <v>156317.26234850165</v>
      </c>
      <c r="H21" s="461">
        <f t="shared" si="2"/>
        <v>5.4918995325177029E-2</v>
      </c>
      <c r="I21" s="430"/>
      <c r="J21" s="433">
        <f t="shared" si="1"/>
        <v>142513.17794999364</v>
      </c>
      <c r="K21" s="433">
        <f t="shared" si="1"/>
        <v>40469.875455438247</v>
      </c>
      <c r="L21" s="461">
        <f t="shared" si="0"/>
        <v>0.25889575372176521</v>
      </c>
      <c r="M21" s="430"/>
      <c r="N21" s="433"/>
      <c r="O21" s="433"/>
      <c r="P21" s="461"/>
      <c r="Q21" s="626"/>
      <c r="S21" s="619">
        <f>E21-H21</f>
        <v>5.1372102810692613E-3</v>
      </c>
      <c r="T21" s="595"/>
      <c r="U21" s="503">
        <f>K18+K19+K20</f>
        <v>-14972.008280365841</v>
      </c>
      <c r="V21" s="620" t="s">
        <v>614</v>
      </c>
    </row>
    <row r="22" spans="2:22" ht="15.75" thickBot="1">
      <c r="B22" s="631"/>
      <c r="C22" s="632"/>
      <c r="D22" s="632"/>
      <c r="E22" s="632"/>
      <c r="F22" s="633"/>
      <c r="G22" s="633"/>
      <c r="H22" s="632"/>
      <c r="I22" s="632"/>
      <c r="J22" s="632"/>
      <c r="K22" s="632"/>
      <c r="L22" s="632"/>
      <c r="M22" s="632"/>
      <c r="N22" s="632"/>
      <c r="O22" s="632"/>
      <c r="P22" s="632"/>
      <c r="Q22" s="634"/>
      <c r="S22" s="635"/>
      <c r="T22" s="635"/>
    </row>
    <row r="24" spans="2:22">
      <c r="D24" s="497">
        <f>D9/D7</f>
        <v>-0.86590537734502659</v>
      </c>
      <c r="G24" s="497">
        <f>G9/G7</f>
        <v>-0.86860921802382218</v>
      </c>
      <c r="L24" s="499">
        <f>D24-G24</f>
        <v>2.7038406787955882E-3</v>
      </c>
      <c r="N24" s="499"/>
      <c r="O24" s="499"/>
      <c r="P24" s="499"/>
    </row>
  </sheetData>
  <mergeCells count="7">
    <mergeCell ref="S3:V3"/>
    <mergeCell ref="B5:B6"/>
    <mergeCell ref="C5:D5"/>
    <mergeCell ref="E5:E6"/>
    <mergeCell ref="F5:G5"/>
    <mergeCell ref="H5:H6"/>
    <mergeCell ref="J5:L5"/>
  </mergeCells>
  <pageMargins left="0.78740157480314965" right="0.78740157480314965" top="0.86614173228346458" bottom="0.98425196850393704" header="0.51181102362204722" footer="0.51181102362204722"/>
  <pageSetup paperSize="9" scale="98" orientation="portrait" verticalDpi="180"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FD36DE-4729-4580-A4B1-8ADBE38B08A9}">
  <sheetPr>
    <tabColor rgb="FF92D050"/>
  </sheetPr>
  <dimension ref="A1:Y54"/>
  <sheetViews>
    <sheetView showGridLines="0" topLeftCell="G6" zoomScale="80" zoomScaleNormal="80" workbookViewId="0">
      <selection activeCell="C47" sqref="C47"/>
    </sheetView>
  </sheetViews>
  <sheetFormatPr baseColWidth="10" defaultColWidth="7.875" defaultRowHeight="12.75"/>
  <cols>
    <col min="1" max="4" width="7.875" style="108"/>
    <col min="5" max="5" width="30.25" style="108" bestFit="1" customWidth="1"/>
    <col min="6" max="6" width="7.875" style="108"/>
    <col min="7" max="8" width="9" style="108" bestFit="1" customWidth="1"/>
    <col min="9" max="9" width="3.125" style="108" customWidth="1"/>
    <col min="10" max="10" width="36" style="108" customWidth="1"/>
    <col min="11" max="15" width="7.875" style="108"/>
    <col min="16" max="17" width="14.125" style="108" customWidth="1"/>
    <col min="18" max="18" width="15.625" style="108" bestFit="1" customWidth="1"/>
    <col min="19" max="19" width="11.125" style="108" bestFit="1" customWidth="1"/>
    <col min="20" max="20" width="9.875" style="108" bestFit="1" customWidth="1"/>
    <col min="21" max="21" width="7.875" style="108"/>
    <col min="22" max="22" width="11.125" style="108" bestFit="1" customWidth="1"/>
    <col min="23" max="23" width="9.875" style="108" bestFit="1" customWidth="1"/>
    <col min="24" max="24" width="7.875" style="108"/>
    <col min="25" max="25" width="9.375" style="108" bestFit="1" customWidth="1"/>
    <col min="26" max="16384" width="7.875" style="108"/>
  </cols>
  <sheetData>
    <row r="1" spans="1:16" ht="18.75">
      <c r="B1" s="107" t="str">
        <f>[79]RO_table!B32</f>
        <v>NOUR Group Consolidated - Net Profit Bridge</v>
      </c>
    </row>
    <row r="2" spans="1:16" ht="13.5" thickBot="1"/>
    <row r="3" spans="1:16" ht="13.5" thickBot="1">
      <c r="A3" s="417"/>
      <c r="B3" s="418"/>
      <c r="C3" s="418"/>
      <c r="D3" s="418"/>
      <c r="E3" s="418"/>
      <c r="F3" s="418"/>
      <c r="G3" s="418"/>
      <c r="H3" s="418"/>
      <c r="I3" s="418"/>
      <c r="J3" s="418"/>
      <c r="K3" s="418"/>
      <c r="L3" s="418"/>
      <c r="M3" s="418"/>
      <c r="N3" s="418"/>
      <c r="O3" s="418"/>
      <c r="P3" s="419"/>
    </row>
    <row r="4" spans="1:16">
      <c r="A4" s="420"/>
      <c r="B4" s="109"/>
      <c r="C4" s="110"/>
      <c r="D4" s="110"/>
      <c r="E4" s="110"/>
      <c r="F4" s="110"/>
      <c r="G4" s="110"/>
      <c r="H4" s="110"/>
      <c r="I4" s="110"/>
      <c r="J4" s="110"/>
      <c r="K4" s="110"/>
      <c r="L4" s="110"/>
      <c r="M4" s="110"/>
      <c r="N4" s="110"/>
      <c r="O4" s="111"/>
      <c r="P4" s="421"/>
    </row>
    <row r="5" spans="1:16">
      <c r="A5" s="420"/>
      <c r="B5" s="112"/>
      <c r="C5" s="125"/>
      <c r="D5" s="125"/>
      <c r="E5" s="125"/>
      <c r="F5" s="125"/>
      <c r="G5" s="125"/>
      <c r="H5" s="125"/>
      <c r="I5" s="125"/>
      <c r="J5" s="125"/>
      <c r="K5" s="125"/>
      <c r="L5" s="125"/>
      <c r="M5" s="125"/>
      <c r="N5" s="125"/>
      <c r="O5" s="113"/>
      <c r="P5" s="421"/>
    </row>
    <row r="6" spans="1:16">
      <c r="A6" s="420"/>
      <c r="B6" s="112"/>
      <c r="C6" s="125"/>
      <c r="D6" s="125"/>
      <c r="E6" s="125"/>
      <c r="F6" s="125"/>
      <c r="G6" s="125"/>
      <c r="H6" s="125"/>
      <c r="I6" s="125"/>
      <c r="J6" s="125"/>
      <c r="K6" s="125"/>
      <c r="L6" s="125"/>
      <c r="M6" s="125"/>
      <c r="N6" s="125"/>
      <c r="O6" s="113"/>
      <c r="P6" s="421"/>
    </row>
    <row r="7" spans="1:16">
      <c r="A7" s="420"/>
      <c r="B7" s="112"/>
      <c r="C7" s="125"/>
      <c r="D7" s="125"/>
      <c r="E7" s="125"/>
      <c r="F7" s="125"/>
      <c r="G7" s="125"/>
      <c r="H7" s="125"/>
      <c r="I7" s="125"/>
      <c r="J7" s="125"/>
      <c r="K7" s="125"/>
      <c r="L7" s="125"/>
      <c r="M7" s="125"/>
      <c r="N7" s="125"/>
      <c r="O7" s="113"/>
      <c r="P7" s="421"/>
    </row>
    <row r="8" spans="1:16">
      <c r="A8" s="420"/>
      <c r="B8" s="112"/>
      <c r="C8" s="125"/>
      <c r="D8" s="125"/>
      <c r="E8" s="125"/>
      <c r="F8" s="125"/>
      <c r="G8" s="125"/>
      <c r="H8" s="125"/>
      <c r="I8" s="125"/>
      <c r="J8" s="125"/>
      <c r="K8" s="125"/>
      <c r="L8" s="125"/>
      <c r="M8" s="125"/>
      <c r="N8" s="125"/>
      <c r="O8" s="113"/>
      <c r="P8" s="421"/>
    </row>
    <row r="9" spans="1:16">
      <c r="A9" s="420"/>
      <c r="B9" s="112"/>
      <c r="C9" s="125"/>
      <c r="D9" s="125"/>
      <c r="E9" s="125"/>
      <c r="F9" s="125"/>
      <c r="G9" s="125"/>
      <c r="H9" s="125"/>
      <c r="I9" s="125"/>
      <c r="J9" s="125"/>
      <c r="K9" s="125"/>
      <c r="L9" s="125"/>
      <c r="M9" s="125"/>
      <c r="N9" s="125"/>
      <c r="O9" s="113"/>
      <c r="P9" s="421"/>
    </row>
    <row r="10" spans="1:16">
      <c r="A10" s="420"/>
      <c r="B10" s="112"/>
      <c r="C10" s="125"/>
      <c r="D10" s="125"/>
      <c r="E10" s="125"/>
      <c r="F10" s="125"/>
      <c r="G10" s="125"/>
      <c r="H10" s="125"/>
      <c r="I10" s="125"/>
      <c r="J10" s="125"/>
      <c r="K10" s="125"/>
      <c r="L10" s="125"/>
      <c r="M10" s="125"/>
      <c r="N10" s="125"/>
      <c r="O10" s="113"/>
      <c r="P10" s="421"/>
    </row>
    <row r="11" spans="1:16">
      <c r="A11" s="420"/>
      <c r="B11" s="112"/>
      <c r="C11" s="125"/>
      <c r="D11" s="125"/>
      <c r="E11" s="125"/>
      <c r="F11" s="125"/>
      <c r="G11" s="125"/>
      <c r="H11" s="125"/>
      <c r="I11" s="125"/>
      <c r="J11" s="125"/>
      <c r="K11" s="125"/>
      <c r="L11" s="125"/>
      <c r="M11" s="125"/>
      <c r="N11" s="125"/>
      <c r="O11" s="113"/>
      <c r="P11" s="421"/>
    </row>
    <row r="12" spans="1:16">
      <c r="A12" s="420"/>
      <c r="B12" s="112"/>
      <c r="C12" s="125"/>
      <c r="D12" s="125"/>
      <c r="E12" s="125"/>
      <c r="F12" s="125"/>
      <c r="G12" s="125"/>
      <c r="H12" s="125"/>
      <c r="I12" s="125"/>
      <c r="J12" s="125"/>
      <c r="K12" s="125"/>
      <c r="L12" s="125"/>
      <c r="M12" s="125"/>
      <c r="N12" s="125"/>
      <c r="O12" s="113"/>
      <c r="P12" s="421"/>
    </row>
    <row r="13" spans="1:16">
      <c r="A13" s="420"/>
      <c r="B13" s="112"/>
      <c r="C13" s="125"/>
      <c r="D13" s="125"/>
      <c r="E13" s="125"/>
      <c r="F13" s="125"/>
      <c r="G13" s="125"/>
      <c r="H13" s="125"/>
      <c r="I13" s="125"/>
      <c r="J13" s="125"/>
      <c r="K13" s="125"/>
      <c r="L13" s="125"/>
      <c r="M13" s="125"/>
      <c r="N13" s="125"/>
      <c r="O13" s="113"/>
      <c r="P13" s="421"/>
    </row>
    <row r="14" spans="1:16">
      <c r="A14" s="420"/>
      <c r="B14" s="112"/>
      <c r="C14" s="125"/>
      <c r="D14" s="125"/>
      <c r="E14" s="125"/>
      <c r="F14" s="125"/>
      <c r="G14" s="125"/>
      <c r="H14" s="125"/>
      <c r="I14" s="125"/>
      <c r="J14" s="125"/>
      <c r="K14" s="125"/>
      <c r="L14" s="125"/>
      <c r="M14" s="125"/>
      <c r="N14" s="125"/>
      <c r="O14" s="113"/>
      <c r="P14" s="421"/>
    </row>
    <row r="15" spans="1:16">
      <c r="A15" s="420"/>
      <c r="B15" s="112"/>
      <c r="C15" s="125"/>
      <c r="D15" s="125"/>
      <c r="E15" s="125"/>
      <c r="F15" s="125"/>
      <c r="G15" s="125"/>
      <c r="H15" s="125"/>
      <c r="I15" s="125"/>
      <c r="J15" s="125"/>
      <c r="K15" s="125"/>
      <c r="L15" s="125"/>
      <c r="M15" s="125"/>
      <c r="N15" s="125"/>
      <c r="O15" s="113"/>
      <c r="P15" s="421"/>
    </row>
    <row r="16" spans="1:16">
      <c r="A16" s="420"/>
      <c r="B16" s="112"/>
      <c r="C16" s="125"/>
      <c r="D16" s="125"/>
      <c r="E16" s="125"/>
      <c r="F16" s="125"/>
      <c r="G16" s="125"/>
      <c r="H16" s="125"/>
      <c r="I16" s="125"/>
      <c r="J16" s="125"/>
      <c r="K16" s="125"/>
      <c r="L16" s="125"/>
      <c r="M16" s="125"/>
      <c r="N16" s="125"/>
      <c r="O16" s="113"/>
      <c r="P16" s="421"/>
    </row>
    <row r="17" spans="1:22">
      <c r="A17" s="420"/>
      <c r="B17" s="112"/>
      <c r="C17" s="125"/>
      <c r="D17" s="125"/>
      <c r="E17" s="125"/>
      <c r="F17" s="125"/>
      <c r="G17" s="125"/>
      <c r="H17" s="125"/>
      <c r="I17" s="125"/>
      <c r="J17" s="125"/>
      <c r="K17" s="125"/>
      <c r="L17" s="125"/>
      <c r="M17" s="125"/>
      <c r="N17" s="125"/>
      <c r="O17" s="113"/>
      <c r="P17" s="421"/>
    </row>
    <row r="18" spans="1:22">
      <c r="A18" s="420"/>
      <c r="B18" s="112"/>
      <c r="C18" s="125"/>
      <c r="D18" s="125"/>
      <c r="E18" s="125"/>
      <c r="F18" s="125"/>
      <c r="G18" s="125"/>
      <c r="H18" s="125"/>
      <c r="I18" s="125"/>
      <c r="J18" s="125"/>
      <c r="K18" s="125"/>
      <c r="L18" s="125"/>
      <c r="M18" s="125"/>
      <c r="N18" s="125"/>
      <c r="O18" s="113"/>
      <c r="P18" s="421"/>
    </row>
    <row r="19" spans="1:22">
      <c r="A19" s="420"/>
      <c r="B19" s="112"/>
      <c r="C19" s="125"/>
      <c r="D19" s="125"/>
      <c r="E19" s="125"/>
      <c r="F19" s="125"/>
      <c r="G19" s="125"/>
      <c r="H19" s="125"/>
      <c r="I19" s="125"/>
      <c r="J19" s="125"/>
      <c r="K19" s="125"/>
      <c r="L19" s="125"/>
      <c r="M19" s="125"/>
      <c r="N19" s="125"/>
      <c r="O19" s="113"/>
      <c r="P19" s="421"/>
      <c r="U19" s="108" t="s">
        <v>2248</v>
      </c>
      <c r="V19" s="108">
        <v>3.3321000000000001</v>
      </c>
    </row>
    <row r="20" spans="1:22" ht="13.5" thickBot="1">
      <c r="A20" s="420"/>
      <c r="B20" s="114"/>
      <c r="C20" s="115"/>
      <c r="D20" s="115"/>
      <c r="E20" s="115"/>
      <c r="F20" s="115"/>
      <c r="G20" s="115"/>
      <c r="H20" s="115"/>
      <c r="I20" s="115"/>
      <c r="J20" s="115"/>
      <c r="K20" s="115"/>
      <c r="L20" s="115"/>
      <c r="M20" s="115"/>
      <c r="N20" s="115"/>
      <c r="O20" s="116"/>
      <c r="P20" s="421"/>
      <c r="U20" s="108" t="s">
        <v>2247</v>
      </c>
      <c r="V20" s="108">
        <v>3.2702</v>
      </c>
    </row>
    <row r="21" spans="1:22">
      <c r="A21" s="420"/>
      <c r="P21" s="421"/>
    </row>
    <row r="22" spans="1:22">
      <c r="A22" s="420"/>
      <c r="P22" s="421"/>
    </row>
    <row r="23" spans="1:22">
      <c r="A23" s="420"/>
      <c r="P23" s="421"/>
    </row>
    <row r="24" spans="1:22">
      <c r="A24" s="420"/>
      <c r="P24" s="421"/>
    </row>
    <row r="25" spans="1:22">
      <c r="A25" s="420"/>
      <c r="P25" s="421"/>
    </row>
    <row r="26" spans="1:22" ht="13.5" thickBot="1">
      <c r="A26" s="422"/>
      <c r="B26" s="423"/>
      <c r="C26" s="423"/>
      <c r="D26" s="423"/>
      <c r="E26" s="423"/>
      <c r="F26" s="423"/>
      <c r="G26" s="423"/>
      <c r="H26" s="423"/>
      <c r="I26" s="423"/>
      <c r="J26" s="423"/>
      <c r="K26" s="423"/>
      <c r="L26" s="423"/>
      <c r="M26" s="423"/>
      <c r="N26" s="423"/>
      <c r="O26" s="423"/>
      <c r="P26" s="424"/>
    </row>
    <row r="31" spans="1:22">
      <c r="B31" s="117" t="s">
        <v>198</v>
      </c>
      <c r="J31" s="123" t="s">
        <v>199</v>
      </c>
      <c r="S31" s="108">
        <f>+V19</f>
        <v>3.3321000000000001</v>
      </c>
      <c r="V31" s="108">
        <f>+V20</f>
        <v>3.2702</v>
      </c>
    </row>
    <row r="32" spans="1:22" ht="13.5" thickBot="1">
      <c r="C32" s="108" t="s">
        <v>134</v>
      </c>
      <c r="D32" s="108" t="s">
        <v>165</v>
      </c>
      <c r="E32" s="108" t="s">
        <v>166</v>
      </c>
      <c r="F32" s="108" t="s">
        <v>167</v>
      </c>
      <c r="G32" s="108" t="s">
        <v>168</v>
      </c>
      <c r="K32" s="108" t="s">
        <v>134</v>
      </c>
      <c r="L32" s="108" t="s">
        <v>165</v>
      </c>
      <c r="M32" s="108" t="s">
        <v>166</v>
      </c>
      <c r="N32" s="108" t="s">
        <v>167</v>
      </c>
      <c r="O32" s="108" t="s">
        <v>168</v>
      </c>
      <c r="S32" s="108">
        <v>2023</v>
      </c>
      <c r="V32" s="108">
        <v>2022</v>
      </c>
    </row>
    <row r="33" spans="2:25">
      <c r="B33" s="126" t="s">
        <v>2002</v>
      </c>
      <c r="C33" s="127">
        <f>D33</f>
        <v>523.31708200640844</v>
      </c>
      <c r="D33" s="127">
        <f>(H54+M53)</f>
        <v>523.31708200640844</v>
      </c>
      <c r="E33" s="127"/>
      <c r="F33" s="127"/>
      <c r="G33" s="127"/>
      <c r="J33" s="108" t="s">
        <v>2002</v>
      </c>
      <c r="K33" s="108">
        <f>-V33/V31/1000</f>
        <v>420.00998685095703</v>
      </c>
      <c r="L33" s="108">
        <f>K33</f>
        <v>420.00998685095703</v>
      </c>
      <c r="R33" s="817" t="s">
        <v>584</v>
      </c>
      <c r="S33" s="809">
        <v>-1220979.9950000001</v>
      </c>
      <c r="T33" s="809">
        <v>-374407.40700990468</v>
      </c>
      <c r="U33" s="810">
        <v>-3.0820324175154033E-2</v>
      </c>
      <c r="V33" s="814">
        <v>-1373516.6589999998</v>
      </c>
      <c r="W33" s="809">
        <v>-416671.72036160651</v>
      </c>
      <c r="X33" s="810">
        <v>-3.6332889759536108E-2</v>
      </c>
      <c r="Y33" s="695">
        <f>+S33-V33</f>
        <v>152536.66399999964</v>
      </c>
    </row>
    <row r="34" spans="2:25">
      <c r="B34" s="126" t="s">
        <v>456</v>
      </c>
      <c r="C34" s="127">
        <f>G51-H51</f>
        <v>61.666901971563277</v>
      </c>
      <c r="D34" s="127"/>
      <c r="E34" s="127">
        <f>MIN(SUM(C$25:C33),SUM(C$25:C34))</f>
        <v>523.31708200640844</v>
      </c>
      <c r="F34" s="127">
        <f>MAX(C34,0)</f>
        <v>61.666901971563277</v>
      </c>
      <c r="G34" s="127">
        <f>-MIN(C34,0)</f>
        <v>0</v>
      </c>
      <c r="J34" s="108" t="s">
        <v>200</v>
      </c>
      <c r="K34" s="108">
        <v>130</v>
      </c>
      <c r="M34" s="108">
        <f>MIN(SUM(K$25:K33),SUM(K$25:K34))</f>
        <v>420.00998685095703</v>
      </c>
      <c r="N34" s="108">
        <f>MAX(K34,0)</f>
        <v>130</v>
      </c>
      <c r="O34" s="108">
        <f>-MIN(K34,0)</f>
        <v>0</v>
      </c>
      <c r="R34" s="153" t="s">
        <v>585</v>
      </c>
      <c r="S34" s="695">
        <v>29325.842000000001</v>
      </c>
      <c r="T34" s="695">
        <v>8992.6227346600845</v>
      </c>
      <c r="U34" s="811">
        <v>7.4025124150322176E-4</v>
      </c>
      <c r="V34" s="815">
        <v>14148.990000000002</v>
      </c>
      <c r="W34" s="695">
        <v>4292.255187477248</v>
      </c>
      <c r="X34" s="811">
        <v>3.7427554337277167E-4</v>
      </c>
      <c r="Y34" s="695">
        <f t="shared" ref="Y34:Y35" si="0">+S34-V34</f>
        <v>15176.851999999999</v>
      </c>
    </row>
    <row r="35" spans="2:25" ht="13.5" thickBot="1">
      <c r="B35" s="126" t="s">
        <v>454</v>
      </c>
      <c r="C35" s="127">
        <f>G53-H53+G52-H52+(L51-M51)+(L52-M52)</f>
        <v>-23.411165750108921</v>
      </c>
      <c r="D35" s="127"/>
      <c r="E35" s="127">
        <f>MIN(SUM(C$25:C34),SUM(C$25:C35))</f>
        <v>561.57281822786285</v>
      </c>
      <c r="F35" s="127">
        <f>MAX(C35,0)</f>
        <v>0</v>
      </c>
      <c r="G35" s="127">
        <f>-MIN(C35,0)</f>
        <v>23.411165750108921</v>
      </c>
      <c r="J35" s="108" t="s">
        <v>201</v>
      </c>
      <c r="K35" s="108">
        <v>-50</v>
      </c>
      <c r="M35" s="108">
        <f>MIN(SUM(K$25:K34),SUM(K$25:K35))</f>
        <v>500.00998685095703</v>
      </c>
      <c r="N35" s="108">
        <f t="shared" ref="N35" si="1">MAX(K35,0)</f>
        <v>0</v>
      </c>
      <c r="O35" s="108">
        <f t="shared" ref="O35" si="2">-MIN(K35,0)</f>
        <v>50</v>
      </c>
      <c r="R35" s="818" t="s">
        <v>586</v>
      </c>
      <c r="S35" s="812">
        <v>-19222.234</v>
      </c>
      <c r="T35" s="812">
        <v>-5894.4018889331828</v>
      </c>
      <c r="U35" s="813">
        <v>-4.8521309577284914E-4</v>
      </c>
      <c r="V35" s="816">
        <v>-19002.063999999998</v>
      </c>
      <c r="W35" s="812">
        <v>-5764.4897463900006</v>
      </c>
      <c r="X35" s="813">
        <v>-5.0265127255049173E-4</v>
      </c>
      <c r="Y35" s="695">
        <f t="shared" si="0"/>
        <v>-220.17000000000189</v>
      </c>
    </row>
    <row r="36" spans="2:25">
      <c r="B36" s="126" t="s">
        <v>2001</v>
      </c>
      <c r="C36" s="127"/>
      <c r="D36" s="127">
        <f>SUM(C33:C35)</f>
        <v>561.57281822786285</v>
      </c>
      <c r="E36" s="127"/>
      <c r="F36" s="127"/>
      <c r="G36" s="127"/>
      <c r="J36" s="108" t="s">
        <v>2001</v>
      </c>
      <c r="L36" s="108">
        <f>SUM(K33:K35)</f>
        <v>500.00998685095703</v>
      </c>
    </row>
    <row r="41" spans="2:25">
      <c r="G41" s="108" t="s">
        <v>2029</v>
      </c>
      <c r="H41" s="108" t="s">
        <v>2030</v>
      </c>
      <c r="L41" s="108" t="s">
        <v>2029</v>
      </c>
      <c r="M41" s="108" t="s">
        <v>2030</v>
      </c>
    </row>
    <row r="42" spans="2:25">
      <c r="E42" s="297" t="s">
        <v>217</v>
      </c>
    </row>
    <row r="43" spans="2:25">
      <c r="E43" s="743" t="s">
        <v>439</v>
      </c>
      <c r="F43" s="744"/>
      <c r="G43" s="745"/>
      <c r="H43" s="746">
        <v>0</v>
      </c>
      <c r="J43" s="296" t="s">
        <v>438</v>
      </c>
      <c r="K43" s="747"/>
      <c r="L43" s="748"/>
      <c r="M43" s="749">
        <v>0</v>
      </c>
    </row>
    <row r="44" spans="2:25">
      <c r="E44" s="747" t="s">
        <v>440</v>
      </c>
      <c r="F44" s="744" t="s">
        <v>441</v>
      </c>
      <c r="G44" s="750">
        <v>1697452.764</v>
      </c>
      <c r="H44" s="750">
        <v>1464256.2959999999</v>
      </c>
      <c r="J44" s="751" t="s">
        <v>442</v>
      </c>
      <c r="K44" s="752" t="s">
        <v>443</v>
      </c>
      <c r="L44" s="750">
        <v>-65904.247999999992</v>
      </c>
      <c r="M44" s="749">
        <v>-67430.263000000006</v>
      </c>
    </row>
    <row r="45" spans="2:25">
      <c r="E45" s="296" t="s">
        <v>446</v>
      </c>
      <c r="F45" s="744" t="s">
        <v>447</v>
      </c>
      <c r="G45" s="750">
        <v>-2044.0779999999886</v>
      </c>
      <c r="H45" s="750">
        <v>124388.811</v>
      </c>
      <c r="J45" s="296" t="s">
        <v>444</v>
      </c>
      <c r="K45" s="752" t="s">
        <v>445</v>
      </c>
      <c r="L45" s="750">
        <v>-2418.2030000000022</v>
      </c>
      <c r="M45" s="749">
        <v>-15944.447000000002</v>
      </c>
    </row>
    <row r="46" spans="2:25">
      <c r="E46" s="296" t="s">
        <v>450</v>
      </c>
      <c r="F46" s="744" t="s">
        <v>451</v>
      </c>
      <c r="G46" s="750">
        <v>245618.05500000002</v>
      </c>
      <c r="H46" s="750">
        <v>205418.45699999999</v>
      </c>
      <c r="J46" s="753" t="s">
        <v>448</v>
      </c>
      <c r="K46" s="754" t="s">
        <v>449</v>
      </c>
      <c r="L46" s="748">
        <f>SUM(L44:L45)</f>
        <v>-68322.451000000001</v>
      </c>
      <c r="M46" s="748">
        <f>SUM(M44:M45)</f>
        <v>-83374.710000000006</v>
      </c>
    </row>
    <row r="47" spans="2:25">
      <c r="E47" s="753" t="s">
        <v>452</v>
      </c>
      <c r="F47" s="755" t="s">
        <v>453</v>
      </c>
      <c r="G47" s="745">
        <f>SUM(G44:G46)</f>
        <v>1941026.7409999999</v>
      </c>
      <c r="H47" s="745">
        <f>SUM(H44:H46)</f>
        <v>1794063.5639999998</v>
      </c>
    </row>
    <row r="49" spans="5:13">
      <c r="E49" s="297" t="s">
        <v>455</v>
      </c>
      <c r="G49" s="108">
        <f>'YTD Q1''23 SNA vs Q1''22'!C3</f>
        <v>3.3321000000000001</v>
      </c>
      <c r="H49" s="108">
        <f>'YTD Q1''23 SNA vs Q1''22'!F3</f>
        <v>3.2702</v>
      </c>
      <c r="L49" s="108">
        <v>3.2610999999999999</v>
      </c>
      <c r="M49" s="108">
        <v>3.2964000000000002</v>
      </c>
    </row>
    <row r="50" spans="5:13">
      <c r="E50" s="743" t="s">
        <v>439</v>
      </c>
      <c r="F50" s="744"/>
      <c r="G50" s="745"/>
      <c r="H50" s="746">
        <v>0</v>
      </c>
      <c r="J50" s="296" t="s">
        <v>438</v>
      </c>
      <c r="K50" s="747"/>
      <c r="L50" s="748"/>
      <c r="M50" s="748"/>
    </row>
    <row r="51" spans="5:13">
      <c r="E51" s="747" t="s">
        <v>440</v>
      </c>
      <c r="F51" s="744" t="s">
        <v>441</v>
      </c>
      <c r="G51" s="750">
        <f>G44/$G$49/1000</f>
        <v>509.42431619699289</v>
      </c>
      <c r="H51" s="750">
        <f>H44/$H$49/1000</f>
        <v>447.75741422542961</v>
      </c>
      <c r="J51" s="751" t="s">
        <v>442</v>
      </c>
      <c r="K51" s="752" t="s">
        <v>443</v>
      </c>
      <c r="L51" s="750">
        <f>L44/L49/1000</f>
        <v>-20.209207935972522</v>
      </c>
      <c r="M51" s="750">
        <f>M44/M49/1000</f>
        <v>-20.455728370343405</v>
      </c>
    </row>
    <row r="52" spans="5:13">
      <c r="E52" s="296" t="s">
        <v>446</v>
      </c>
      <c r="F52" s="744" t="s">
        <v>447</v>
      </c>
      <c r="G52" s="750">
        <f>G45/$G$49/1000</f>
        <v>-0.6134503766393532</v>
      </c>
      <c r="H52" s="750">
        <f>H45/$H$49/1000</f>
        <v>38.037065317105991</v>
      </c>
      <c r="J52" s="296" t="s">
        <v>444</v>
      </c>
      <c r="K52" s="752" t="s">
        <v>445</v>
      </c>
      <c r="L52" s="750">
        <f>L45/L49/1000</f>
        <v>-0.74152985189046716</v>
      </c>
      <c r="M52" s="750">
        <f>M45/M49/1000</f>
        <v>-4.8369272539740322</v>
      </c>
    </row>
    <row r="53" spans="5:13">
      <c r="E53" s="296" t="s">
        <v>450</v>
      </c>
      <c r="F53" s="744" t="s">
        <v>451</v>
      </c>
      <c r="G53" s="750">
        <f>G46/$G$49/1000</f>
        <v>73.712690195372303</v>
      </c>
      <c r="H53" s="750">
        <f>H46/$H$49/1000</f>
        <v>62.815258088190326</v>
      </c>
      <c r="J53" s="753" t="s">
        <v>448</v>
      </c>
      <c r="K53" s="754" t="s">
        <v>449</v>
      </c>
      <c r="L53" s="756">
        <f>SUM(L50:L52)</f>
        <v>-20.950737787862987</v>
      </c>
      <c r="M53" s="756">
        <f>SUM(M50:M52)</f>
        <v>-25.292655624317437</v>
      </c>
    </row>
    <row r="54" spans="5:13">
      <c r="E54" s="753" t="s">
        <v>452</v>
      </c>
      <c r="F54" s="755" t="s">
        <v>453</v>
      </c>
      <c r="G54" s="756">
        <f>SUM(G51:G53)</f>
        <v>582.52355601572583</v>
      </c>
      <c r="H54" s="756">
        <f>SUM(H51:H53)</f>
        <v>548.60973763072593</v>
      </c>
    </row>
  </sheetData>
  <dataValidations disablePrompts="1" count="1">
    <dataValidation type="decimal" allowBlank="1" showInputMessage="1" showErrorMessage="1" errorTitle="Невалиден формат" error="Стойността в клетката може да съдържа само положително число._x000a__x000a_За да коригирате натиснете Retry. За да се откажете натиснете Cancel." sqref="M43:M45 L44:L45 H43:H46 G44:G46 H50:H53 G51:G53 L51:M52" xr:uid="{705FDA7F-411D-411A-905C-92D4F5276D7F}">
      <formula1>0</formula1>
      <formula2>9999999999999990</formula2>
    </dataValidation>
  </dataValidations>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B9D79C-06EB-4812-8BB3-44420DB1DEEA}">
  <sheetPr codeName="Sheet13"/>
  <dimension ref="A2:P54"/>
  <sheetViews>
    <sheetView showGridLines="0" topLeftCell="A9" zoomScale="80" zoomScaleNormal="80" workbookViewId="0">
      <selection activeCell="H37" sqref="H37"/>
    </sheetView>
  </sheetViews>
  <sheetFormatPr baseColWidth="10" defaultColWidth="7.875" defaultRowHeight="12.75"/>
  <cols>
    <col min="1" max="4" width="7.875" style="108"/>
    <col min="5" max="5" width="30.25" style="108" bestFit="1" customWidth="1"/>
    <col min="6" max="6" width="7.875" style="108"/>
    <col min="7" max="8" width="9" style="108" bestFit="1" customWidth="1"/>
    <col min="9" max="9" width="3.125" style="108" customWidth="1"/>
    <col min="10" max="10" width="9.625" style="108" customWidth="1"/>
    <col min="11" max="15" width="7.875" style="108"/>
    <col min="16" max="17" width="14.125" style="108" customWidth="1"/>
    <col min="18" max="16384" width="7.875" style="108"/>
  </cols>
  <sheetData>
    <row r="2" spans="1:16" ht="19.5" thickBot="1">
      <c r="B2" s="107" t="str">
        <f>[79]RO_table!B32</f>
        <v>NOUR Group Consolidated - Net Profit Bridge</v>
      </c>
    </row>
    <row r="3" spans="1:16" ht="13.5" thickBot="1">
      <c r="A3" s="417"/>
      <c r="B3" s="418"/>
      <c r="C3" s="418"/>
      <c r="D3" s="418"/>
      <c r="E3" s="418"/>
      <c r="F3" s="418"/>
      <c r="G3" s="418"/>
      <c r="H3" s="418"/>
      <c r="I3" s="418"/>
      <c r="J3" s="418"/>
      <c r="K3" s="418"/>
      <c r="L3" s="418"/>
      <c r="M3" s="418"/>
      <c r="N3" s="418"/>
      <c r="O3" s="418"/>
      <c r="P3" s="419"/>
    </row>
    <row r="4" spans="1:16">
      <c r="A4" s="420"/>
      <c r="B4" s="109"/>
      <c r="C4" s="110"/>
      <c r="D4" s="110"/>
      <c r="E4" s="110"/>
      <c r="F4" s="110"/>
      <c r="G4" s="110"/>
      <c r="H4" s="110"/>
      <c r="I4" s="110"/>
      <c r="J4" s="110"/>
      <c r="K4" s="110"/>
      <c r="L4" s="110"/>
      <c r="M4" s="110"/>
      <c r="N4" s="110"/>
      <c r="O4" s="111"/>
      <c r="P4" s="421"/>
    </row>
    <row r="5" spans="1:16">
      <c r="A5" s="420"/>
      <c r="B5" s="112"/>
      <c r="C5" s="125"/>
      <c r="D5" s="125"/>
      <c r="E5" s="125"/>
      <c r="F5" s="125"/>
      <c r="G5" s="125"/>
      <c r="H5" s="125"/>
      <c r="I5" s="125"/>
      <c r="J5" s="125"/>
      <c r="K5" s="125"/>
      <c r="L5" s="125"/>
      <c r="M5" s="125"/>
      <c r="N5" s="125"/>
      <c r="O5" s="113"/>
      <c r="P5" s="421"/>
    </row>
    <row r="6" spans="1:16">
      <c r="A6" s="420"/>
      <c r="B6" s="112"/>
      <c r="C6" s="125"/>
      <c r="D6" s="125"/>
      <c r="E6" s="125"/>
      <c r="F6" s="125"/>
      <c r="G6" s="125"/>
      <c r="H6" s="125"/>
      <c r="I6" s="125"/>
      <c r="J6" s="125"/>
      <c r="K6" s="125"/>
      <c r="L6" s="125"/>
      <c r="M6" s="125"/>
      <c r="N6" s="125"/>
      <c r="O6" s="113"/>
      <c r="P6" s="421"/>
    </row>
    <row r="7" spans="1:16">
      <c r="A7" s="420"/>
      <c r="B7" s="112"/>
      <c r="C7" s="125"/>
      <c r="D7" s="125"/>
      <c r="E7" s="125"/>
      <c r="F7" s="125"/>
      <c r="G7" s="125"/>
      <c r="H7" s="125"/>
      <c r="I7" s="125"/>
      <c r="J7" s="125"/>
      <c r="K7" s="125"/>
      <c r="L7" s="125"/>
      <c r="M7" s="125"/>
      <c r="N7" s="125"/>
      <c r="O7" s="113"/>
      <c r="P7" s="421"/>
    </row>
    <row r="8" spans="1:16">
      <c r="A8" s="420"/>
      <c r="B8" s="112"/>
      <c r="C8" s="125"/>
      <c r="D8" s="125"/>
      <c r="E8" s="125"/>
      <c r="F8" s="125"/>
      <c r="G8" s="125"/>
      <c r="H8" s="125"/>
      <c r="I8" s="125"/>
      <c r="J8" s="125"/>
      <c r="K8" s="125"/>
      <c r="L8" s="125"/>
      <c r="M8" s="125"/>
      <c r="N8" s="125"/>
      <c r="O8" s="113"/>
      <c r="P8" s="421"/>
    </row>
    <row r="9" spans="1:16">
      <c r="A9" s="420"/>
      <c r="B9" s="112"/>
      <c r="C9" s="125"/>
      <c r="D9" s="125"/>
      <c r="E9" s="125"/>
      <c r="F9" s="125"/>
      <c r="G9" s="125"/>
      <c r="H9" s="125"/>
      <c r="I9" s="125"/>
      <c r="J9" s="125"/>
      <c r="K9" s="125"/>
      <c r="L9" s="125"/>
      <c r="M9" s="125"/>
      <c r="N9" s="125"/>
      <c r="O9" s="113"/>
      <c r="P9" s="421"/>
    </row>
    <row r="10" spans="1:16">
      <c r="A10" s="420"/>
      <c r="B10" s="112"/>
      <c r="C10" s="125"/>
      <c r="D10" s="125"/>
      <c r="E10" s="125"/>
      <c r="F10" s="125"/>
      <c r="G10" s="125"/>
      <c r="H10" s="125"/>
      <c r="I10" s="125"/>
      <c r="J10" s="125"/>
      <c r="K10" s="125"/>
      <c r="L10" s="125"/>
      <c r="M10" s="125"/>
      <c r="N10" s="125"/>
      <c r="O10" s="113"/>
      <c r="P10" s="421"/>
    </row>
    <row r="11" spans="1:16">
      <c r="A11" s="420"/>
      <c r="B11" s="112"/>
      <c r="C11" s="125"/>
      <c r="D11" s="125"/>
      <c r="E11" s="125"/>
      <c r="F11" s="125"/>
      <c r="G11" s="125"/>
      <c r="H11" s="125"/>
      <c r="I11" s="125"/>
      <c r="J11" s="125"/>
      <c r="K11" s="125"/>
      <c r="L11" s="125"/>
      <c r="M11" s="125"/>
      <c r="N11" s="125"/>
      <c r="O11" s="113"/>
      <c r="P11" s="421"/>
    </row>
    <row r="12" spans="1:16">
      <c r="A12" s="420"/>
      <c r="B12" s="112"/>
      <c r="C12" s="125"/>
      <c r="D12" s="125"/>
      <c r="E12" s="125"/>
      <c r="F12" s="125"/>
      <c r="G12" s="125"/>
      <c r="H12" s="125"/>
      <c r="I12" s="125"/>
      <c r="J12" s="125"/>
      <c r="K12" s="125"/>
      <c r="L12" s="125"/>
      <c r="M12" s="125"/>
      <c r="N12" s="125"/>
      <c r="O12" s="113"/>
      <c r="P12" s="421"/>
    </row>
    <row r="13" spans="1:16">
      <c r="A13" s="420"/>
      <c r="B13" s="112"/>
      <c r="C13" s="125"/>
      <c r="D13" s="125"/>
      <c r="E13" s="125"/>
      <c r="F13" s="125"/>
      <c r="G13" s="125"/>
      <c r="H13" s="125"/>
      <c r="I13" s="125"/>
      <c r="J13" s="125"/>
      <c r="K13" s="125"/>
      <c r="L13" s="125"/>
      <c r="M13" s="125"/>
      <c r="N13" s="125"/>
      <c r="O13" s="113"/>
      <c r="P13" s="421"/>
    </row>
    <row r="14" spans="1:16">
      <c r="A14" s="420"/>
      <c r="B14" s="112"/>
      <c r="C14" s="125"/>
      <c r="D14" s="125"/>
      <c r="E14" s="125"/>
      <c r="F14" s="125"/>
      <c r="G14" s="125"/>
      <c r="H14" s="125"/>
      <c r="I14" s="125"/>
      <c r="J14" s="125"/>
      <c r="K14" s="125"/>
      <c r="L14" s="125"/>
      <c r="M14" s="125"/>
      <c r="N14" s="125"/>
      <c r="O14" s="113"/>
      <c r="P14" s="421"/>
    </row>
    <row r="15" spans="1:16">
      <c r="A15" s="420"/>
      <c r="B15" s="112"/>
      <c r="C15" s="125"/>
      <c r="D15" s="125"/>
      <c r="E15" s="125"/>
      <c r="F15" s="125"/>
      <c r="G15" s="125"/>
      <c r="H15" s="125"/>
      <c r="I15" s="125"/>
      <c r="J15" s="125"/>
      <c r="K15" s="125"/>
      <c r="L15" s="125"/>
      <c r="M15" s="125"/>
      <c r="N15" s="125"/>
      <c r="O15" s="113"/>
      <c r="P15" s="421"/>
    </row>
    <row r="16" spans="1:16">
      <c r="A16" s="420"/>
      <c r="B16" s="112"/>
      <c r="C16" s="125"/>
      <c r="D16" s="125"/>
      <c r="E16" s="125"/>
      <c r="F16" s="125"/>
      <c r="G16" s="125"/>
      <c r="H16" s="125"/>
      <c r="I16" s="125"/>
      <c r="J16" s="125"/>
      <c r="K16" s="125"/>
      <c r="L16" s="125"/>
      <c r="M16" s="125"/>
      <c r="N16" s="125"/>
      <c r="O16" s="113"/>
      <c r="P16" s="421"/>
    </row>
    <row r="17" spans="1:16">
      <c r="A17" s="420"/>
      <c r="B17" s="112"/>
      <c r="C17" s="125"/>
      <c r="D17" s="125"/>
      <c r="E17" s="125"/>
      <c r="F17" s="125"/>
      <c r="G17" s="125"/>
      <c r="H17" s="125"/>
      <c r="I17" s="125"/>
      <c r="J17" s="125"/>
      <c r="K17" s="125"/>
      <c r="L17" s="125"/>
      <c r="M17" s="125"/>
      <c r="N17" s="125"/>
      <c r="O17" s="113"/>
      <c r="P17" s="421"/>
    </row>
    <row r="18" spans="1:16">
      <c r="A18" s="420"/>
      <c r="B18" s="112"/>
      <c r="C18" s="125"/>
      <c r="D18" s="125"/>
      <c r="E18" s="125"/>
      <c r="F18" s="125"/>
      <c r="G18" s="125"/>
      <c r="H18" s="125"/>
      <c r="I18" s="125"/>
      <c r="J18" s="125"/>
      <c r="K18" s="125"/>
      <c r="L18" s="125"/>
      <c r="M18" s="125"/>
      <c r="N18" s="125"/>
      <c r="O18" s="113"/>
      <c r="P18" s="421"/>
    </row>
    <row r="19" spans="1:16">
      <c r="A19" s="420"/>
      <c r="B19" s="112"/>
      <c r="C19" s="125"/>
      <c r="D19" s="125"/>
      <c r="E19" s="125"/>
      <c r="F19" s="125"/>
      <c r="G19" s="125"/>
      <c r="H19" s="125"/>
      <c r="I19" s="125"/>
      <c r="J19" s="125"/>
      <c r="K19" s="125"/>
      <c r="L19" s="125"/>
      <c r="M19" s="125"/>
      <c r="N19" s="125"/>
      <c r="O19" s="113"/>
      <c r="P19" s="421"/>
    </row>
    <row r="20" spans="1:16" ht="13.5" thickBot="1">
      <c r="A20" s="420"/>
      <c r="B20" s="114"/>
      <c r="C20" s="115"/>
      <c r="D20" s="115"/>
      <c r="E20" s="115"/>
      <c r="F20" s="115"/>
      <c r="G20" s="115"/>
      <c r="H20" s="115"/>
      <c r="I20" s="115"/>
      <c r="J20" s="115"/>
      <c r="K20" s="115"/>
      <c r="L20" s="115"/>
      <c r="M20" s="115"/>
      <c r="N20" s="115"/>
      <c r="O20" s="116"/>
      <c r="P20" s="421"/>
    </row>
    <row r="21" spans="1:16">
      <c r="A21" s="420"/>
      <c r="P21" s="421"/>
    </row>
    <row r="22" spans="1:16">
      <c r="A22" s="420"/>
      <c r="P22" s="421"/>
    </row>
    <row r="23" spans="1:16">
      <c r="A23" s="420"/>
      <c r="P23" s="421"/>
    </row>
    <row r="24" spans="1:16">
      <c r="A24" s="420"/>
      <c r="P24" s="421"/>
    </row>
    <row r="25" spans="1:16">
      <c r="A25" s="420"/>
      <c r="P25" s="421"/>
    </row>
    <row r="26" spans="1:16" ht="13.5" thickBot="1">
      <c r="A26" s="422"/>
      <c r="B26" s="423"/>
      <c r="C26" s="423"/>
      <c r="D26" s="423"/>
      <c r="E26" s="423"/>
      <c r="F26" s="423"/>
      <c r="G26" s="423"/>
      <c r="H26" s="423"/>
      <c r="I26" s="423"/>
      <c r="J26" s="423"/>
      <c r="K26" s="423"/>
      <c r="L26" s="423"/>
      <c r="M26" s="423"/>
      <c r="N26" s="423"/>
      <c r="O26" s="423"/>
      <c r="P26" s="424"/>
    </row>
    <row r="31" spans="1:16">
      <c r="B31" s="117" t="s">
        <v>198</v>
      </c>
      <c r="J31" s="123" t="s">
        <v>199</v>
      </c>
    </row>
    <row r="32" spans="1:16">
      <c r="C32" s="108" t="s">
        <v>134</v>
      </c>
      <c r="D32" s="108" t="s">
        <v>165</v>
      </c>
      <c r="E32" s="108" t="s">
        <v>166</v>
      </c>
      <c r="F32" s="108" t="s">
        <v>167</v>
      </c>
      <c r="G32" s="108" t="s">
        <v>168</v>
      </c>
      <c r="K32" s="108" t="s">
        <v>134</v>
      </c>
      <c r="L32" s="108" t="s">
        <v>165</v>
      </c>
      <c r="M32" s="108" t="s">
        <v>166</v>
      </c>
      <c r="N32" s="108" t="s">
        <v>167</v>
      </c>
      <c r="O32" s="108" t="s">
        <v>168</v>
      </c>
    </row>
    <row r="33" spans="2:15">
      <c r="B33" s="126" t="s">
        <v>264</v>
      </c>
      <c r="C33" s="127">
        <f>D33</f>
        <v>357.06110058775164</v>
      </c>
      <c r="D33" s="127">
        <f>(H54-M53)</f>
        <v>357.06110058775164</v>
      </c>
      <c r="E33" s="127"/>
      <c r="F33" s="127"/>
      <c r="G33" s="127"/>
      <c r="J33" s="108" t="s">
        <v>264</v>
      </c>
      <c r="K33" s="108">
        <v>400</v>
      </c>
      <c r="L33" s="108">
        <f>K33</f>
        <v>400</v>
      </c>
    </row>
    <row r="34" spans="2:15">
      <c r="B34" s="126" t="s">
        <v>456</v>
      </c>
      <c r="C34" s="127">
        <f>G51-H51</f>
        <v>101.6875253272911</v>
      </c>
      <c r="D34" s="127"/>
      <c r="E34" s="127">
        <f>MIN(SUM(C$25:C33),SUM(C$25:C34))</f>
        <v>357.06110058775164</v>
      </c>
      <c r="F34" s="127">
        <f>MAX(C34,0)</f>
        <v>101.6875253272911</v>
      </c>
      <c r="G34" s="127">
        <f>-MIN(C34,0)</f>
        <v>0</v>
      </c>
      <c r="J34" s="108" t="s">
        <v>200</v>
      </c>
      <c r="K34" s="108">
        <v>130</v>
      </c>
      <c r="M34" s="108">
        <f>MIN(SUM(K$25:K33),SUM(K$25:K34))</f>
        <v>400</v>
      </c>
      <c r="N34" s="108">
        <f>MAX(K34,0)</f>
        <v>130</v>
      </c>
      <c r="O34" s="108">
        <f>-MIN(K34,0)</f>
        <v>0</v>
      </c>
    </row>
    <row r="35" spans="2:15">
      <c r="B35" s="126" t="s">
        <v>454</v>
      </c>
      <c r="C35" s="127">
        <f>G53-H53+G52-H52</f>
        <v>22.170418150297831</v>
      </c>
      <c r="D35" s="127"/>
      <c r="E35" s="127">
        <f>MIN(SUM(C$25:C34),SUM(C$25:C35))</f>
        <v>458.74862591504274</v>
      </c>
      <c r="F35" s="127">
        <f>MAX(C35,0)</f>
        <v>22.170418150297831</v>
      </c>
      <c r="G35" s="127">
        <f>-MIN(C35,0)</f>
        <v>0</v>
      </c>
      <c r="J35" s="108" t="s">
        <v>201</v>
      </c>
      <c r="K35" s="108">
        <v>-50</v>
      </c>
      <c r="M35" s="108">
        <f>MIN(SUM(K$25:K34),SUM(K$25:K35))</f>
        <v>480</v>
      </c>
      <c r="N35" s="108">
        <f t="shared" ref="N35" si="0">MAX(K35,0)</f>
        <v>0</v>
      </c>
      <c r="O35" s="108">
        <f t="shared" ref="O35" si="1">-MIN(K35,0)</f>
        <v>50</v>
      </c>
    </row>
    <row r="36" spans="2:15">
      <c r="B36" s="126" t="s">
        <v>265</v>
      </c>
      <c r="C36" s="127"/>
      <c r="D36" s="127">
        <f>SUM(C33:C35)</f>
        <v>480.91904406534059</v>
      </c>
      <c r="E36" s="127"/>
      <c r="F36" s="127"/>
      <c r="G36" s="127"/>
      <c r="J36" s="108" t="s">
        <v>265</v>
      </c>
      <c r="L36" s="108">
        <f>SUM(K33:K35)</f>
        <v>480</v>
      </c>
    </row>
    <row r="42" spans="2:15">
      <c r="E42" s="297" t="s">
        <v>217</v>
      </c>
    </row>
    <row r="43" spans="2:15">
      <c r="E43" s="743" t="s">
        <v>439</v>
      </c>
      <c r="F43" s="744"/>
      <c r="G43" s="745"/>
      <c r="H43" s="746">
        <v>0</v>
      </c>
      <c r="J43" s="296" t="s">
        <v>438</v>
      </c>
      <c r="K43" s="747"/>
      <c r="L43" s="748"/>
      <c r="M43" s="749">
        <v>0</v>
      </c>
    </row>
    <row r="44" spans="2:15">
      <c r="E44" s="747" t="s">
        <v>440</v>
      </c>
      <c r="F44" s="744" t="s">
        <v>441</v>
      </c>
      <c r="G44" s="750">
        <v>1345018.2479999999</v>
      </c>
      <c r="H44" s="750">
        <v>1038396.7830000001</v>
      </c>
      <c r="J44" s="751" t="s">
        <v>442</v>
      </c>
      <c r="K44" s="752" t="s">
        <v>443</v>
      </c>
      <c r="L44" s="750">
        <v>581.62099999999998</v>
      </c>
      <c r="M44" s="749">
        <v>0.60099999999999998</v>
      </c>
    </row>
    <row r="45" spans="2:15">
      <c r="E45" s="296" t="s">
        <v>446</v>
      </c>
      <c r="F45" s="744" t="s">
        <v>447</v>
      </c>
      <c r="G45" s="750">
        <v>19991.504000000001</v>
      </c>
      <c r="H45" s="750">
        <v>1193.7670000000001</v>
      </c>
      <c r="J45" s="296" t="s">
        <v>444</v>
      </c>
      <c r="K45" s="752" t="s">
        <v>445</v>
      </c>
      <c r="L45" s="750">
        <v>919.43700000000001</v>
      </c>
      <c r="M45" s="749">
        <v>483.17500000000001</v>
      </c>
    </row>
    <row r="46" spans="2:15">
      <c r="E46" s="296" t="s">
        <v>450</v>
      </c>
      <c r="F46" s="744" t="s">
        <v>451</v>
      </c>
      <c r="G46" s="750">
        <v>183254.255</v>
      </c>
      <c r="H46" s="750">
        <v>133374.76199999999</v>
      </c>
      <c r="J46" s="753" t="s">
        <v>448</v>
      </c>
      <c r="K46" s="754" t="s">
        <v>449</v>
      </c>
      <c r="L46" s="748">
        <v>1501.058</v>
      </c>
      <c r="M46" s="748">
        <v>483.77600000000001</v>
      </c>
    </row>
    <row r="47" spans="2:15">
      <c r="E47" s="753" t="s">
        <v>452</v>
      </c>
      <c r="F47" s="755" t="s">
        <v>453</v>
      </c>
      <c r="G47" s="745">
        <v>1548264.0070000002</v>
      </c>
      <c r="H47" s="745">
        <v>1172965.3119999999</v>
      </c>
    </row>
    <row r="49" spans="5:13">
      <c r="E49" s="297" t="s">
        <v>455</v>
      </c>
      <c r="G49" s="108">
        <v>3.2183999999999999</v>
      </c>
      <c r="H49" s="108">
        <v>3.2837000000000001</v>
      </c>
      <c r="L49" s="108">
        <v>3.2183999999999999</v>
      </c>
      <c r="M49" s="108">
        <v>3.2837000000000001</v>
      </c>
    </row>
    <row r="50" spans="5:13">
      <c r="E50" s="743" t="s">
        <v>439</v>
      </c>
      <c r="F50" s="744"/>
      <c r="G50" s="745"/>
      <c r="H50" s="746">
        <v>0</v>
      </c>
      <c r="J50" s="296" t="s">
        <v>438</v>
      </c>
      <c r="K50" s="747"/>
      <c r="L50" s="748"/>
      <c r="M50" s="748"/>
    </row>
    <row r="51" spans="5:13">
      <c r="E51" s="747" t="s">
        <v>440</v>
      </c>
      <c r="F51" s="744" t="s">
        <v>441</v>
      </c>
      <c r="G51" s="750">
        <f>G44/$G$49/1000</f>
        <v>417.91519015659952</v>
      </c>
      <c r="H51" s="750">
        <f>H44/$H$49/1000</f>
        <v>316.22766482930842</v>
      </c>
      <c r="J51" s="751" t="s">
        <v>442</v>
      </c>
      <c r="K51" s="752" t="s">
        <v>443</v>
      </c>
      <c r="L51" s="750">
        <f>L44/L49/1000</f>
        <v>0.18071743723589362</v>
      </c>
      <c r="M51" s="750">
        <f>M44/M49/1000</f>
        <v>1.8302524591162409E-4</v>
      </c>
    </row>
    <row r="52" spans="5:13">
      <c r="E52" s="296" t="s">
        <v>446</v>
      </c>
      <c r="F52" s="744" t="s">
        <v>447</v>
      </c>
      <c r="G52" s="750">
        <f>G45/$G$49/1000</f>
        <v>6.2116281382053193</v>
      </c>
      <c r="H52" s="750">
        <f>H45/$H$49/1000</f>
        <v>0.36354325912842222</v>
      </c>
      <c r="J52" s="296" t="s">
        <v>444</v>
      </c>
      <c r="K52" s="752" t="s">
        <v>445</v>
      </c>
      <c r="L52" s="750">
        <f>L45/L49/1000</f>
        <v>0.28568139448173008</v>
      </c>
      <c r="M52" s="750">
        <f>M45/M49/1000</f>
        <v>0.14714346621189511</v>
      </c>
    </row>
    <row r="53" spans="5:13">
      <c r="E53" s="296" t="s">
        <v>450</v>
      </c>
      <c r="F53" s="744" t="s">
        <v>451</v>
      </c>
      <c r="G53" s="750">
        <f>G46/$G$49/1000</f>
        <v>56.939552261993533</v>
      </c>
      <c r="H53" s="750">
        <f>H46/$H$49/1000</f>
        <v>40.617218990772599</v>
      </c>
      <c r="J53" s="753" t="s">
        <v>448</v>
      </c>
      <c r="K53" s="754" t="s">
        <v>449</v>
      </c>
      <c r="L53" s="756">
        <f>SUM(L50:L52)</f>
        <v>0.4663988317176237</v>
      </c>
      <c r="M53" s="756">
        <f>SUM(M50:M52)</f>
        <v>0.14732649145780674</v>
      </c>
    </row>
    <row r="54" spans="5:13">
      <c r="E54" s="753" t="s">
        <v>452</v>
      </c>
      <c r="F54" s="755" t="s">
        <v>453</v>
      </c>
      <c r="G54" s="756">
        <f>SUM(G51:G53)</f>
        <v>481.06637055679835</v>
      </c>
      <c r="H54" s="756">
        <f>SUM(H51:H53)</f>
        <v>357.20842707920946</v>
      </c>
    </row>
  </sheetData>
  <dataValidations count="1">
    <dataValidation type="decimal" allowBlank="1" showInputMessage="1" showErrorMessage="1" errorTitle="Невалиден формат" error="Стойността в клетката може да съдържа само положително число._x000a__x000a_За да коригирате натиснете Retry. За да се откажете натиснете Cancel." sqref="M43:M45 L44:L45 H43:H46 G44:G46 H50:H53 G51:G53 L51:M52" xr:uid="{7769188C-F6A4-4513-9CFC-60915F0C3CE1}">
      <formula1>0</formula1>
      <formula2>9999999999999990</formula2>
    </dataValidation>
  </dataValidations>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3276BD-4891-4513-90D6-7B913FAE8F18}">
  <sheetPr codeName="Sheet15">
    <tabColor rgb="FF92D050"/>
    <pageSetUpPr fitToPage="1"/>
  </sheetPr>
  <dimension ref="B1:Y53"/>
  <sheetViews>
    <sheetView showGridLines="0" zoomScale="80" zoomScaleNormal="80" workbookViewId="0">
      <selection activeCell="C47" sqref="C47"/>
    </sheetView>
  </sheetViews>
  <sheetFormatPr baseColWidth="10" defaultColWidth="8.5" defaultRowHeight="15"/>
  <cols>
    <col min="1" max="1" width="8.5" style="209"/>
    <col min="2" max="2" width="1.5" style="209" customWidth="1"/>
    <col min="3" max="3" width="18.75" style="208" customWidth="1"/>
    <col min="4" max="4" width="8.375" style="209" bestFit="1" customWidth="1"/>
    <col min="5" max="5" width="8.5" style="209" bestFit="1" customWidth="1"/>
    <col min="6" max="6" width="8.125" style="209" bestFit="1" customWidth="1"/>
    <col min="7" max="7" width="20.125" style="209" customWidth="1"/>
    <col min="8" max="8" width="22.125" style="209" customWidth="1"/>
    <col min="9" max="9" width="21.875" style="209" bestFit="1" customWidth="1"/>
    <col min="10" max="10" width="12.625" style="210" customWidth="1"/>
    <col min="11" max="11" width="13.125" style="210" customWidth="1"/>
    <col min="12" max="14" width="13.125" style="209" customWidth="1"/>
    <col min="15" max="15" width="8.25" style="209" hidden="1" customWidth="1"/>
    <col min="16" max="17" width="14.75" style="209" customWidth="1"/>
    <col min="18" max="18" width="16.375" style="209" customWidth="1"/>
    <col min="19" max="19" width="14.5" style="209" customWidth="1"/>
    <col min="20" max="20" width="24.375" style="209" customWidth="1"/>
    <col min="21" max="21" width="14.125" style="209" bestFit="1" customWidth="1"/>
    <col min="22" max="24" width="9.875" style="209" bestFit="1" customWidth="1"/>
    <col min="25" max="16384" width="8.5" style="209"/>
  </cols>
  <sheetData>
    <row r="1" spans="2:25" ht="15.75" thickBot="1"/>
    <row r="2" spans="2:25" ht="15.75" thickBot="1">
      <c r="B2" s="1200"/>
      <c r="C2" s="1201"/>
      <c r="D2" s="1202"/>
      <c r="E2" s="1202"/>
      <c r="F2" s="1202"/>
      <c r="G2" s="1202"/>
      <c r="H2" s="1202"/>
      <c r="I2" s="1202"/>
      <c r="J2" s="1203"/>
      <c r="K2" s="1203"/>
      <c r="L2" s="1202"/>
      <c r="M2" s="1202"/>
      <c r="N2" s="1202"/>
      <c r="O2" s="1202"/>
      <c r="P2" s="1202"/>
      <c r="Q2" s="1202"/>
      <c r="R2" s="1202"/>
      <c r="S2" s="1202"/>
      <c r="T2" s="1204"/>
    </row>
    <row r="3" spans="2:25" ht="21.75" thickBot="1">
      <c r="B3" s="260"/>
      <c r="C3" s="426"/>
      <c r="D3" s="425"/>
      <c r="E3" s="425"/>
      <c r="F3" s="425"/>
      <c r="G3" s="425"/>
      <c r="H3" s="425"/>
      <c r="I3" s="425"/>
      <c r="J3" s="1205"/>
      <c r="K3" s="1283" t="s">
        <v>1996</v>
      </c>
      <c r="L3" s="1284"/>
      <c r="M3" s="1283" t="s">
        <v>2231</v>
      </c>
      <c r="N3" s="1284"/>
      <c r="O3" s="1206"/>
      <c r="P3" s="1283" t="s">
        <v>428</v>
      </c>
      <c r="Q3" s="1284"/>
      <c r="R3" s="425"/>
      <c r="S3" s="425"/>
      <c r="T3" s="261"/>
    </row>
    <row r="4" spans="2:25" ht="30.75" thickBot="1">
      <c r="B4" s="260"/>
      <c r="C4" s="270" t="s">
        <v>260</v>
      </c>
      <c r="D4" s="271" t="s">
        <v>259</v>
      </c>
      <c r="E4" s="271" t="s">
        <v>258</v>
      </c>
      <c r="F4" s="271" t="s">
        <v>257</v>
      </c>
      <c r="G4" s="271" t="s">
        <v>256</v>
      </c>
      <c r="H4" s="271" t="s">
        <v>255</v>
      </c>
      <c r="I4" s="271" t="s">
        <v>254</v>
      </c>
      <c r="J4" s="272" t="s">
        <v>253</v>
      </c>
      <c r="K4" s="273" t="s">
        <v>217</v>
      </c>
      <c r="L4" s="274" t="s">
        <v>216</v>
      </c>
      <c r="M4" s="273" t="s">
        <v>217</v>
      </c>
      <c r="N4" s="274" t="s">
        <v>216</v>
      </c>
      <c r="O4" s="982" t="s">
        <v>2234</v>
      </c>
      <c r="P4" s="273" t="s">
        <v>217</v>
      </c>
      <c r="Q4" s="274" t="s">
        <v>216</v>
      </c>
      <c r="R4" s="275" t="s">
        <v>252</v>
      </c>
      <c r="S4" s="276" t="s">
        <v>251</v>
      </c>
      <c r="T4" s="261"/>
      <c r="Y4" s="833" t="s">
        <v>2038</v>
      </c>
    </row>
    <row r="5" spans="2:25" s="216" customFormat="1" ht="45">
      <c r="B5" s="260"/>
      <c r="C5" s="277" t="s">
        <v>240</v>
      </c>
      <c r="D5" s="278">
        <v>1</v>
      </c>
      <c r="E5" s="279" t="s">
        <v>230</v>
      </c>
      <c r="F5" s="279" t="s">
        <v>224</v>
      </c>
      <c r="G5" s="280" t="s">
        <v>250</v>
      </c>
      <c r="H5" s="280" t="s">
        <v>225</v>
      </c>
      <c r="I5" s="281" t="s">
        <v>217</v>
      </c>
      <c r="J5" s="1193">
        <v>3500000</v>
      </c>
      <c r="K5" s="1194">
        <f>Feuil2!I3+Feuil2!I4+Feuil2!I5+Feuil2!I6+Feuil2!I7</f>
        <v>291666.66733333335</v>
      </c>
      <c r="L5" s="1195">
        <f t="shared" ref="L5:L13" si="0">K5*$I$35</f>
        <v>88111.493968138879</v>
      </c>
      <c r="M5" s="1196">
        <v>291667</v>
      </c>
      <c r="N5" s="1196">
        <v>90624.563060641754</v>
      </c>
      <c r="O5" s="1196">
        <f>L5-N5</f>
        <v>-2513.0690925028757</v>
      </c>
      <c r="P5" s="1194">
        <f>SUM([82]Loans_Overview!$I$3:$I$7)</f>
        <v>875000</v>
      </c>
      <c r="Q5" s="282">
        <f t="shared" ref="Q5:Q11" si="1">P5*$K$35</f>
        <v>266605.72821450332</v>
      </c>
      <c r="R5" s="283" t="s">
        <v>249</v>
      </c>
      <c r="S5" s="284">
        <v>45016</v>
      </c>
      <c r="T5" s="261"/>
      <c r="U5" s="217"/>
      <c r="W5" s="832">
        <f>K5-P5</f>
        <v>-583333.33266666671</v>
      </c>
      <c r="X5" s="315">
        <f>W5/3.2611</f>
        <v>-178876.24809624566</v>
      </c>
      <c r="Y5" s="834">
        <f>L5-Q5-X5</f>
        <v>382.01384988121572</v>
      </c>
    </row>
    <row r="6" spans="2:25" s="216" customFormat="1" ht="30">
      <c r="B6" s="260"/>
      <c r="C6" s="285" t="s">
        <v>240</v>
      </c>
      <c r="D6" s="211">
        <f t="shared" ref="D6:D17" si="2">D5+1</f>
        <v>2</v>
      </c>
      <c r="E6" s="212" t="s">
        <v>230</v>
      </c>
      <c r="F6" s="212" t="s">
        <v>224</v>
      </c>
      <c r="G6" s="213" t="s">
        <v>248</v>
      </c>
      <c r="H6" s="213" t="s">
        <v>225</v>
      </c>
      <c r="I6" s="214" t="s">
        <v>217</v>
      </c>
      <c r="J6" s="1197">
        <v>3750000</v>
      </c>
      <c r="K6" s="1192">
        <f>Feuil2!I8+Feuil2!I9</f>
        <v>1666667</v>
      </c>
      <c r="L6" s="1198">
        <f t="shared" si="0"/>
        <v>503494.35079451388</v>
      </c>
      <c r="M6" s="1199">
        <v>1875000</v>
      </c>
      <c r="N6" s="1199">
        <v>582585.8110060558</v>
      </c>
      <c r="O6" s="1199">
        <f t="shared" ref="O6:O13" si="3">L6-N6</f>
        <v>-79091.460211541911</v>
      </c>
      <c r="P6" s="1192">
        <f>SUM([82]Loans_Overview!$I$8:$I$9)</f>
        <v>2291666</v>
      </c>
      <c r="Q6" s="215">
        <f t="shared" si="1"/>
        <v>698252.8945764777</v>
      </c>
      <c r="R6" s="256" t="s">
        <v>247</v>
      </c>
      <c r="S6" s="286">
        <v>45777</v>
      </c>
      <c r="T6" s="261"/>
      <c r="U6" s="217"/>
      <c r="W6" s="832">
        <f>K6-P6</f>
        <v>-624999</v>
      </c>
      <c r="X6" s="315">
        <f>W6/3.2611</f>
        <v>-191652.81653429824</v>
      </c>
      <c r="Y6" s="834">
        <f>L6-Q6-X6</f>
        <v>-3105.727247665578</v>
      </c>
    </row>
    <row r="7" spans="2:25" s="216" customFormat="1" ht="45">
      <c r="B7" s="260"/>
      <c r="C7" s="285" t="s">
        <v>240</v>
      </c>
      <c r="D7" s="211">
        <f t="shared" si="2"/>
        <v>3</v>
      </c>
      <c r="E7" s="212" t="s">
        <v>230</v>
      </c>
      <c r="F7" s="212" t="s">
        <v>224</v>
      </c>
      <c r="G7" s="213">
        <v>44819</v>
      </c>
      <c r="H7" s="213" t="s">
        <v>246</v>
      </c>
      <c r="I7" s="214" t="s">
        <v>217</v>
      </c>
      <c r="J7" s="1197">
        <f>Feuil2!H10</f>
        <v>10000000</v>
      </c>
      <c r="K7" s="1192">
        <f>Feuil2!I10</f>
        <v>10000000</v>
      </c>
      <c r="L7" s="1198">
        <f t="shared" si="0"/>
        <v>3020965.5005739834</v>
      </c>
      <c r="M7" s="1199">
        <v>7700000</v>
      </c>
      <c r="N7" s="1199">
        <v>2392485.730531536</v>
      </c>
      <c r="O7" s="1199">
        <f t="shared" si="3"/>
        <v>628479.77004244737</v>
      </c>
      <c r="P7" s="1192">
        <v>7700000</v>
      </c>
      <c r="Q7" s="215">
        <f t="shared" si="1"/>
        <v>2346130.4082876295</v>
      </c>
      <c r="R7" s="256" t="s">
        <v>221</v>
      </c>
      <c r="S7" s="286" t="s">
        <v>245</v>
      </c>
      <c r="T7" s="261"/>
      <c r="U7" s="315">
        <f>K7-P7</f>
        <v>2300000</v>
      </c>
      <c r="V7" s="315">
        <f>U7/3.2611</f>
        <v>705283.49329980684</v>
      </c>
      <c r="Y7" s="834">
        <f>L7-Q7-V7</f>
        <v>-30448.401013452909</v>
      </c>
    </row>
    <row r="8" spans="2:25" s="216" customFormat="1" ht="30">
      <c r="B8" s="260"/>
      <c r="C8" s="285" t="s">
        <v>240</v>
      </c>
      <c r="D8" s="211">
        <f t="shared" si="2"/>
        <v>4</v>
      </c>
      <c r="E8" s="212" t="s">
        <v>230</v>
      </c>
      <c r="F8" s="212" t="s">
        <v>224</v>
      </c>
      <c r="G8" s="213">
        <v>44834</v>
      </c>
      <c r="H8" s="213" t="s">
        <v>241</v>
      </c>
      <c r="I8" s="214" t="s">
        <v>217</v>
      </c>
      <c r="J8" s="1197">
        <v>3000000</v>
      </c>
      <c r="K8" s="1192">
        <f>Feuil2!I11</f>
        <v>852026.82700000005</v>
      </c>
      <c r="L8" s="1198">
        <f t="shared" si="0"/>
        <v>257394.36499305177</v>
      </c>
      <c r="M8" s="1199">
        <v>3997792.5839999998</v>
      </c>
      <c r="N8" s="1199">
        <v>1242163.8585512722</v>
      </c>
      <c r="O8" s="1199">
        <f t="shared" si="3"/>
        <v>-984769.49355822045</v>
      </c>
      <c r="P8" s="1192">
        <v>1987589.7760000001</v>
      </c>
      <c r="Q8" s="215">
        <f t="shared" si="1"/>
        <v>605603.22242535034</v>
      </c>
      <c r="R8" s="256" t="s">
        <v>221</v>
      </c>
      <c r="S8" s="286"/>
      <c r="T8" s="261"/>
      <c r="U8" s="315">
        <f>K8-P8</f>
        <v>-1135562.949</v>
      </c>
      <c r="V8" s="315">
        <f>U8/3.2611</f>
        <v>-348214.69718806539</v>
      </c>
      <c r="Y8" s="834">
        <f>L8-Q8-V8</f>
        <v>5.8397557667922229</v>
      </c>
    </row>
    <row r="9" spans="2:25" s="216" customFormat="1" ht="30">
      <c r="B9" s="260"/>
      <c r="C9" s="285" t="s">
        <v>240</v>
      </c>
      <c r="D9" s="211">
        <f>D8+1</f>
        <v>5</v>
      </c>
      <c r="E9" s="212" t="s">
        <v>170</v>
      </c>
      <c r="F9" s="212" t="s">
        <v>224</v>
      </c>
      <c r="G9" s="213">
        <v>44387</v>
      </c>
      <c r="H9" s="213" t="s">
        <v>242</v>
      </c>
      <c r="I9" s="214" t="s">
        <v>217</v>
      </c>
      <c r="J9" s="1197">
        <v>2000000</v>
      </c>
      <c r="K9" s="1192">
        <f>Feuil2!I15</f>
        <v>3667781.76</v>
      </c>
      <c r="L9" s="1198">
        <f t="shared" si="0"/>
        <v>1108024.2160594524</v>
      </c>
      <c r="M9" s="1199">
        <v>3393470.1570000001</v>
      </c>
      <c r="N9" s="1199">
        <v>1054393.3672217028</v>
      </c>
      <c r="O9" s="1199">
        <f t="shared" si="3"/>
        <v>53630.848837749567</v>
      </c>
      <c r="P9" s="1192">
        <v>483593.42099999997</v>
      </c>
      <c r="Q9" s="215">
        <f t="shared" si="1"/>
        <v>147347.17276051186</v>
      </c>
      <c r="R9" s="256" t="s">
        <v>221</v>
      </c>
      <c r="S9" s="286"/>
      <c r="T9" s="261"/>
      <c r="U9" s="315">
        <f>K9-P9</f>
        <v>3184188.3389999997</v>
      </c>
      <c r="V9" s="315">
        <f>U9/3.2611</f>
        <v>976415.42393670836</v>
      </c>
      <c r="Y9" s="834">
        <f>L9-Q9-V9</f>
        <v>-15738.380637767841</v>
      </c>
    </row>
    <row r="10" spans="2:25" s="216" customFormat="1" ht="30">
      <c r="B10" s="260"/>
      <c r="C10" s="285" t="s">
        <v>240</v>
      </c>
      <c r="D10" s="211">
        <f t="shared" si="2"/>
        <v>6</v>
      </c>
      <c r="E10" s="212" t="s">
        <v>170</v>
      </c>
      <c r="F10" s="212" t="s">
        <v>224</v>
      </c>
      <c r="G10" s="213">
        <v>44387</v>
      </c>
      <c r="H10" s="213" t="s">
        <v>241</v>
      </c>
      <c r="I10" s="214" t="s">
        <v>217</v>
      </c>
      <c r="J10" s="1197">
        <f>Feuil2!H16</f>
        <v>500000</v>
      </c>
      <c r="K10" s="1192">
        <f>Feuil2!I16</f>
        <v>197766.95199999999</v>
      </c>
      <c r="L10" s="1198">
        <f t="shared" si="0"/>
        <v>59744.713914567088</v>
      </c>
      <c r="M10" s="1199">
        <v>115985.60000000001</v>
      </c>
      <c r="N10" s="1199">
        <v>36038.167915212798</v>
      </c>
      <c r="O10" s="1199">
        <f t="shared" si="3"/>
        <v>23706.54599935429</v>
      </c>
      <c r="P10" s="1192">
        <v>62772.955000000002</v>
      </c>
      <c r="Q10" s="215">
        <f t="shared" si="1"/>
        <v>19126.43357708714</v>
      </c>
      <c r="R10" s="256" t="s">
        <v>221</v>
      </c>
      <c r="S10" s="286"/>
      <c r="T10" s="261"/>
      <c r="U10" s="315">
        <f>K10-P10</f>
        <v>134993.99699999997</v>
      </c>
      <c r="V10" s="315">
        <f>U10/3.2611</f>
        <v>41395.233816810272</v>
      </c>
      <c r="Y10" s="834">
        <f>L10-Q10-V10</f>
        <v>-776.95347933032463</v>
      </c>
    </row>
    <row r="11" spans="2:25" s="216" customFormat="1" ht="30">
      <c r="B11" s="260"/>
      <c r="C11" s="285" t="s">
        <v>240</v>
      </c>
      <c r="D11" s="211">
        <f t="shared" si="2"/>
        <v>7</v>
      </c>
      <c r="E11" s="218" t="s">
        <v>171</v>
      </c>
      <c r="F11" s="218" t="s">
        <v>224</v>
      </c>
      <c r="G11" s="219" t="s">
        <v>229</v>
      </c>
      <c r="H11" s="219" t="s">
        <v>239</v>
      </c>
      <c r="I11" s="220" t="s">
        <v>217</v>
      </c>
      <c r="J11" s="1197">
        <v>7300000</v>
      </c>
      <c r="K11" s="1192">
        <f>Feuil2!I22</f>
        <v>3000000</v>
      </c>
      <c r="L11" s="1198">
        <f>K11*$I$35</f>
        <v>906289.65017219493</v>
      </c>
      <c r="M11" s="1199">
        <v>2500000</v>
      </c>
      <c r="N11" s="1199">
        <v>776781.08134140773</v>
      </c>
      <c r="O11" s="1199">
        <f t="shared" si="3"/>
        <v>129508.5688307872</v>
      </c>
      <c r="P11" s="1192">
        <v>0</v>
      </c>
      <c r="Q11" s="215">
        <f t="shared" si="1"/>
        <v>0</v>
      </c>
      <c r="R11" s="257" t="s">
        <v>238</v>
      </c>
      <c r="S11" s="287" t="s">
        <v>237</v>
      </c>
      <c r="T11" s="261"/>
      <c r="U11" s="217"/>
      <c r="W11" s="832">
        <f>K11-P11</f>
        <v>3000000</v>
      </c>
      <c r="X11" s="315">
        <f>W11/3.2611</f>
        <v>919934.99126061762</v>
      </c>
      <c r="Y11" s="834">
        <f>L11-Q11-X11</f>
        <v>-13645.341088422691</v>
      </c>
    </row>
    <row r="12" spans="2:25" s="216" customFormat="1" ht="30">
      <c r="B12" s="260"/>
      <c r="C12" s="285" t="s">
        <v>240</v>
      </c>
      <c r="D12" s="211">
        <v>8</v>
      </c>
      <c r="E12" s="218" t="s">
        <v>171</v>
      </c>
      <c r="F12" s="218" t="s">
        <v>224</v>
      </c>
      <c r="G12" s="219" t="s">
        <v>427</v>
      </c>
      <c r="H12" s="219" t="s">
        <v>1986</v>
      </c>
      <c r="I12" s="220" t="s">
        <v>217</v>
      </c>
      <c r="J12" s="1197">
        <v>0</v>
      </c>
      <c r="K12" s="1192">
        <v>161018.182</v>
      </c>
      <c r="L12" s="1198">
        <f>K12*$I$35</f>
        <v>48643.037278714277</v>
      </c>
      <c r="M12" s="1199"/>
      <c r="N12" s="1199"/>
      <c r="O12" s="1199">
        <f t="shared" si="3"/>
        <v>48643.037278714277</v>
      </c>
      <c r="P12" s="1192">
        <v>0</v>
      </c>
      <c r="Q12" s="215">
        <f t="shared" ref="Q12" si="4">P12*$K$35</f>
        <v>0</v>
      </c>
      <c r="R12" s="256" t="s">
        <v>221</v>
      </c>
      <c r="S12" s="287"/>
      <c r="T12" s="261"/>
      <c r="U12" s="217"/>
      <c r="W12" s="832">
        <f>K12-P12</f>
        <v>161018.182</v>
      </c>
      <c r="X12" s="315">
        <f>W12/3.2611</f>
        <v>49375.419950323514</v>
      </c>
      <c r="Y12" s="834">
        <f>L12-Q12-X12</f>
        <v>-732.38267160923715</v>
      </c>
    </row>
    <row r="13" spans="2:25" s="216" customFormat="1">
      <c r="B13" s="260"/>
      <c r="C13" s="285" t="s">
        <v>236</v>
      </c>
      <c r="D13" s="211">
        <v>9</v>
      </c>
      <c r="E13" s="212" t="s">
        <v>230</v>
      </c>
      <c r="F13" s="212" t="s">
        <v>235</v>
      </c>
      <c r="G13" s="213">
        <v>44722</v>
      </c>
      <c r="H13" s="213" t="s">
        <v>234</v>
      </c>
      <c r="I13" s="214" t="s">
        <v>217</v>
      </c>
      <c r="J13" s="1197"/>
      <c r="K13" s="1192">
        <f>Feuil2!I12</f>
        <v>221115.13799999998</v>
      </c>
      <c r="L13" s="1198">
        <f t="shared" si="0"/>
        <v>66798.120355265535</v>
      </c>
      <c r="M13" s="1199">
        <v>143020.579</v>
      </c>
      <c r="N13" s="1199">
        <v>44438.272003877697</v>
      </c>
      <c r="O13" s="1199">
        <f t="shared" si="3"/>
        <v>22359.848351387838</v>
      </c>
      <c r="P13" s="1192">
        <v>0</v>
      </c>
      <c r="Q13" s="215">
        <f>P13*$K$35</f>
        <v>0</v>
      </c>
      <c r="R13" s="256" t="s">
        <v>233</v>
      </c>
      <c r="S13" s="286">
        <v>45787</v>
      </c>
      <c r="T13" s="261"/>
      <c r="U13" s="315">
        <f>K13-P13</f>
        <v>221115.13799999998</v>
      </c>
      <c r="V13" s="315">
        <f>U13/3.2611</f>
        <v>67803.850847873415</v>
      </c>
      <c r="Y13" s="834">
        <f>L13-Q13-V13</f>
        <v>-1005.7304926078796</v>
      </c>
    </row>
    <row r="14" spans="2:25" s="216" customFormat="1" ht="30">
      <c r="B14" s="260"/>
      <c r="C14" s="1279" t="s">
        <v>232</v>
      </c>
      <c r="D14" s="221">
        <f t="shared" si="2"/>
        <v>10</v>
      </c>
      <c r="E14" s="222" t="s">
        <v>230</v>
      </c>
      <c r="F14" s="222" t="s">
        <v>224</v>
      </c>
      <c r="G14" s="223" t="s">
        <v>229</v>
      </c>
      <c r="H14" s="223" t="s">
        <v>225</v>
      </c>
      <c r="I14" s="224" t="s">
        <v>217</v>
      </c>
      <c r="J14" s="225">
        <v>1890000</v>
      </c>
      <c r="K14" s="226"/>
      <c r="L14" s="227"/>
      <c r="M14" s="984"/>
      <c r="N14" s="984"/>
      <c r="O14" s="984"/>
      <c r="P14" s="260"/>
      <c r="Q14" s="261"/>
      <c r="R14" s="258" t="s">
        <v>1997</v>
      </c>
      <c r="S14" s="288">
        <v>44957</v>
      </c>
      <c r="T14" s="261"/>
      <c r="U14" s="217"/>
      <c r="Y14" s="835"/>
    </row>
    <row r="15" spans="2:25" s="216" customFormat="1" ht="30">
      <c r="B15" s="260"/>
      <c r="C15" s="1280"/>
      <c r="D15" s="221">
        <f t="shared" si="2"/>
        <v>11</v>
      </c>
      <c r="E15" s="222" t="s">
        <v>230</v>
      </c>
      <c r="F15" s="222" t="s">
        <v>224</v>
      </c>
      <c r="G15" s="223" t="s">
        <v>229</v>
      </c>
      <c r="H15" s="223" t="s">
        <v>228</v>
      </c>
      <c r="I15" s="224" t="s">
        <v>217</v>
      </c>
      <c r="J15" s="225">
        <v>1000000</v>
      </c>
      <c r="K15" s="226"/>
      <c r="L15" s="227"/>
      <c r="M15" s="984"/>
      <c r="N15" s="984"/>
      <c r="O15" s="984"/>
      <c r="P15" s="260"/>
      <c r="Q15" s="261"/>
      <c r="R15" s="258" t="s">
        <v>221</v>
      </c>
      <c r="S15" s="288"/>
      <c r="T15" s="261"/>
      <c r="U15" s="217"/>
      <c r="Y15" s="835"/>
    </row>
    <row r="16" spans="2:25" s="216" customFormat="1">
      <c r="B16" s="260"/>
      <c r="C16" s="1281" t="s">
        <v>227</v>
      </c>
      <c r="D16" s="228">
        <f t="shared" si="2"/>
        <v>12</v>
      </c>
      <c r="E16" s="229" t="s">
        <v>170</v>
      </c>
      <c r="F16" s="229" t="s">
        <v>224</v>
      </c>
      <c r="G16" s="230" t="s">
        <v>226</v>
      </c>
      <c r="H16" s="230" t="s">
        <v>225</v>
      </c>
      <c r="I16" s="231" t="s">
        <v>217</v>
      </c>
      <c r="J16" s="232">
        <v>1000000</v>
      </c>
      <c r="K16" s="233"/>
      <c r="L16" s="234"/>
      <c r="M16" s="985"/>
      <c r="N16" s="985"/>
      <c r="O16" s="985"/>
      <c r="P16" s="260"/>
      <c r="Q16" s="261"/>
      <c r="R16" s="259" t="s">
        <v>1998</v>
      </c>
      <c r="S16" s="826">
        <v>44985</v>
      </c>
      <c r="T16" s="261"/>
      <c r="U16" s="217"/>
      <c r="Y16" s="835"/>
    </row>
    <row r="17" spans="2:25" s="216" customFormat="1" ht="30.75" thickBot="1">
      <c r="B17" s="260"/>
      <c r="C17" s="1282"/>
      <c r="D17" s="289">
        <f t="shared" si="2"/>
        <v>13</v>
      </c>
      <c r="E17" s="290" t="s">
        <v>170</v>
      </c>
      <c r="F17" s="290" t="s">
        <v>224</v>
      </c>
      <c r="G17" s="291" t="s">
        <v>223</v>
      </c>
      <c r="H17" s="291" t="s">
        <v>222</v>
      </c>
      <c r="I17" s="292" t="s">
        <v>217</v>
      </c>
      <c r="J17" s="293">
        <v>500000</v>
      </c>
      <c r="K17" s="235"/>
      <c r="L17" s="236"/>
      <c r="M17" s="986"/>
      <c r="N17" s="986"/>
      <c r="O17" s="986"/>
      <c r="P17" s="262"/>
      <c r="Q17" s="263"/>
      <c r="R17" s="294" t="s">
        <v>221</v>
      </c>
      <c r="S17" s="825">
        <v>44985</v>
      </c>
      <c r="T17" s="261"/>
      <c r="U17" s="217"/>
      <c r="Y17" s="835"/>
    </row>
    <row r="18" spans="2:25" s="216" customFormat="1" ht="5.45" customHeight="1">
      <c r="B18" s="260"/>
      <c r="C18" s="425"/>
      <c r="D18" s="425"/>
      <c r="E18" s="425"/>
      <c r="F18" s="425"/>
      <c r="G18" s="425"/>
      <c r="H18" s="425"/>
      <c r="I18" s="425"/>
      <c r="J18" s="425"/>
      <c r="K18" s="425"/>
      <c r="L18" s="425"/>
      <c r="M18" s="425"/>
      <c r="N18" s="425"/>
      <c r="O18" s="425"/>
      <c r="P18" s="425"/>
      <c r="Q18" s="425"/>
      <c r="R18" s="425"/>
      <c r="S18" s="425"/>
      <c r="T18" s="261"/>
      <c r="U18" s="217"/>
      <c r="Y18" s="835"/>
    </row>
    <row r="19" spans="2:25" s="216" customFormat="1" ht="15.75" thickBot="1">
      <c r="B19" s="260"/>
      <c r="C19" s="425"/>
      <c r="D19" s="425"/>
      <c r="E19" s="425"/>
      <c r="F19" s="425"/>
      <c r="G19" s="425"/>
      <c r="H19" s="425"/>
      <c r="I19" s="425"/>
      <c r="J19" s="742"/>
      <c r="K19" s="425"/>
      <c r="L19" s="742"/>
      <c r="M19" s="742"/>
      <c r="N19" s="742"/>
      <c r="O19" s="742"/>
      <c r="P19" s="425"/>
      <c r="Q19" s="425"/>
      <c r="R19" s="1207" t="s">
        <v>2036</v>
      </c>
      <c r="S19" s="425"/>
      <c r="T19" s="261"/>
      <c r="U19" s="217"/>
      <c r="Y19" s="835"/>
    </row>
    <row r="20" spans="2:25" ht="15.75" thickBot="1">
      <c r="B20" s="260"/>
      <c r="C20" s="425"/>
      <c r="D20" s="425"/>
      <c r="E20" s="425"/>
      <c r="F20" s="425"/>
      <c r="G20" s="425"/>
      <c r="H20" s="1208"/>
      <c r="I20" s="1209"/>
      <c r="J20" s="1210" t="s">
        <v>429</v>
      </c>
      <c r="K20" s="1211">
        <f t="shared" ref="K20:Q20" si="5">SUM(K5:K13)</f>
        <v>20058042.526333332</v>
      </c>
      <c r="L20" s="1212">
        <f t="shared" si="5"/>
        <v>6059465.448109881</v>
      </c>
      <c r="M20" s="1211">
        <f t="shared" si="5"/>
        <v>20016935.920000002</v>
      </c>
      <c r="N20" s="1212">
        <f t="shared" si="5"/>
        <v>6219510.8516317066</v>
      </c>
      <c r="O20" s="1212">
        <f t="shared" si="5"/>
        <v>-160045.40352182472</v>
      </c>
      <c r="P20" s="1211">
        <f t="shared" si="5"/>
        <v>13400622.152000001</v>
      </c>
      <c r="Q20" s="1212">
        <f t="shared" si="5"/>
        <v>4083065.85984156</v>
      </c>
      <c r="R20" s="1213">
        <f>Q20-L20</f>
        <v>-1976399.588268321</v>
      </c>
      <c r="S20" s="742"/>
      <c r="T20" s="261"/>
      <c r="Y20" s="833"/>
    </row>
    <row r="21" spans="2:25">
      <c r="B21" s="260"/>
      <c r="C21" s="426"/>
      <c r="D21" s="425"/>
      <c r="E21" s="425"/>
      <c r="F21" s="425"/>
      <c r="G21" s="425"/>
      <c r="H21" s="425"/>
      <c r="I21" s="425"/>
      <c r="J21" s="1214" t="s">
        <v>220</v>
      </c>
      <c r="K21" s="1215">
        <f>SUM(J14:J15)</f>
        <v>2890000</v>
      </c>
      <c r="L21" s="1215">
        <f>SUM(J14:J15)*$I$35</f>
        <v>873059.02966588119</v>
      </c>
      <c r="M21" s="1215">
        <v>5190000</v>
      </c>
      <c r="N21" s="1215">
        <v>1612597.5248647626</v>
      </c>
      <c r="O21" s="1215">
        <f>+N21-L21</f>
        <v>739538.49519888137</v>
      </c>
      <c r="P21" s="425"/>
      <c r="Q21" s="425"/>
      <c r="R21" s="1216"/>
      <c r="S21" s="425"/>
      <c r="T21" s="261"/>
      <c r="Y21" s="833"/>
    </row>
    <row r="22" spans="2:25" ht="15.75" thickBot="1">
      <c r="B22" s="260"/>
      <c r="C22" s="426"/>
      <c r="D22" s="425"/>
      <c r="E22" s="425"/>
      <c r="F22" s="425"/>
      <c r="G22" s="425"/>
      <c r="H22" s="425"/>
      <c r="I22" s="425"/>
      <c r="J22" s="1214" t="s">
        <v>219</v>
      </c>
      <c r="K22" s="1215">
        <f>SUM(J16:J17)</f>
        <v>1500000</v>
      </c>
      <c r="L22" s="1215">
        <f>SUM(J16:J17)*$I$35</f>
        <v>453144.82508609747</v>
      </c>
      <c r="M22" s="1215">
        <v>1500000</v>
      </c>
      <c r="N22" s="1215">
        <v>466068.64880484465</v>
      </c>
      <c r="O22" s="1215">
        <f>+N22-L22</f>
        <v>12923.823718747182</v>
      </c>
      <c r="P22" s="425"/>
      <c r="Q22" s="425"/>
      <c r="R22" s="1216"/>
      <c r="S22" s="425"/>
      <c r="T22" s="261"/>
      <c r="Y22" s="833"/>
    </row>
    <row r="23" spans="2:25" ht="15.75" thickBot="1">
      <c r="B23" s="260"/>
      <c r="C23" s="426"/>
      <c r="D23" s="425"/>
      <c r="E23" s="425"/>
      <c r="F23" s="425"/>
      <c r="G23" s="425"/>
      <c r="H23" s="1208"/>
      <c r="I23" s="1209"/>
      <c r="J23" s="1210" t="s">
        <v>218</v>
      </c>
      <c r="K23" s="1211">
        <f>SUM(K20:K22)</f>
        <v>24448042.526333332</v>
      </c>
      <c r="L23" s="1217">
        <f>SUM(L20:L22)</f>
        <v>7385669.3028618591</v>
      </c>
      <c r="M23" s="1217">
        <f t="shared" ref="M23:O23" si="6">SUM(M20:M22)</f>
        <v>26706935.920000002</v>
      </c>
      <c r="N23" s="1217">
        <f t="shared" si="6"/>
        <v>8298177.025301314</v>
      </c>
      <c r="O23" s="1217">
        <f t="shared" si="6"/>
        <v>592416.91539580375</v>
      </c>
      <c r="P23" s="425"/>
      <c r="Q23" s="425"/>
      <c r="R23" s="1216"/>
      <c r="S23" s="742"/>
      <c r="T23" s="261"/>
      <c r="Y23" s="833"/>
    </row>
    <row r="24" spans="2:25" ht="15.75" thickBot="1">
      <c r="B24" s="260"/>
      <c r="C24" s="426"/>
      <c r="D24" s="425"/>
      <c r="E24" s="425"/>
      <c r="F24" s="425"/>
      <c r="G24" s="425"/>
      <c r="H24" s="425"/>
      <c r="I24" s="425"/>
      <c r="J24" s="1205"/>
      <c r="K24" s="425"/>
      <c r="L24" s="425"/>
      <c r="M24" s="425"/>
      <c r="N24" s="425"/>
      <c r="O24" s="425"/>
      <c r="P24" s="425"/>
      <c r="Q24" s="425"/>
      <c r="R24" s="1216"/>
      <c r="S24" s="425"/>
      <c r="T24" s="261"/>
      <c r="Y24" s="833"/>
    </row>
    <row r="25" spans="2:25" s="216" customFormat="1" ht="15.75" thickBot="1">
      <c r="B25" s="260"/>
      <c r="C25" s="426"/>
      <c r="D25" s="425"/>
      <c r="E25" s="425"/>
      <c r="F25" s="425"/>
      <c r="G25" s="425"/>
      <c r="H25" s="425"/>
      <c r="I25" s="425"/>
      <c r="J25" s="427" t="s">
        <v>204</v>
      </c>
      <c r="K25" s="428">
        <f>I48</f>
        <v>2274655.8420000002</v>
      </c>
      <c r="L25" s="428">
        <f>K25*I35</f>
        <v>687165.68243610661</v>
      </c>
      <c r="M25" s="428">
        <v>2199861.9890000001</v>
      </c>
      <c r="N25" s="428">
        <v>683524.46984691208</v>
      </c>
      <c r="O25" s="1218">
        <f t="shared" ref="O25:O26" si="7">L25-N25</f>
        <v>3641.2125891945325</v>
      </c>
      <c r="P25" s="1218">
        <f>SUM(Q36:Q45)</f>
        <v>3216655.9012200003</v>
      </c>
      <c r="Q25" s="428">
        <f>P25*K35</f>
        <v>980090.1588117003</v>
      </c>
      <c r="R25" s="1213">
        <f>L25-Q25</f>
        <v>-292924.47637559369</v>
      </c>
      <c r="S25" s="1219" t="s">
        <v>458</v>
      </c>
      <c r="T25" s="261"/>
      <c r="U25" s="315">
        <f>K25-D41-(P25-1600000)</f>
        <v>534795.03677999973</v>
      </c>
      <c r="V25" s="315">
        <f>U25/3.2611</f>
        <v>163992.22249547692</v>
      </c>
      <c r="W25" s="832">
        <f>D41-1600000</f>
        <v>-1476795.0959999999</v>
      </c>
      <c r="X25" s="315">
        <f>W25/3.2611</f>
        <v>-452851.82791082765</v>
      </c>
      <c r="Y25" s="834">
        <f>L25-Q25-V25-X25</f>
        <v>-4064.8709602429881</v>
      </c>
    </row>
    <row r="26" spans="2:25" s="216" customFormat="1" ht="15.75" thickBot="1">
      <c r="B26" s="260"/>
      <c r="C26" s="426"/>
      <c r="D26" s="425"/>
      <c r="E26" s="425"/>
      <c r="F26" s="425"/>
      <c r="G26" s="425"/>
      <c r="H26" s="425"/>
      <c r="I26" s="425"/>
      <c r="J26" s="427" t="s">
        <v>2031</v>
      </c>
      <c r="K26" s="428">
        <f>I49</f>
        <v>10843.1</v>
      </c>
      <c r="L26" s="428">
        <f>K26*I35</f>
        <v>3275.6631019273759</v>
      </c>
      <c r="M26" s="428">
        <v>760646.98600000003</v>
      </c>
      <c r="N26" s="428">
        <v>236342.47532166509</v>
      </c>
      <c r="O26" s="1191">
        <f t="shared" si="7"/>
        <v>-233066.81221973771</v>
      </c>
      <c r="P26" s="425"/>
      <c r="Q26" s="425"/>
      <c r="R26" s="1213">
        <f>L26-Q26</f>
        <v>3275.6631019273759</v>
      </c>
      <c r="S26" s="429"/>
      <c r="T26" s="261"/>
      <c r="Y26" s="835"/>
    </row>
    <row r="27" spans="2:25" ht="15.75" thickBot="1">
      <c r="B27" s="260"/>
      <c r="C27" s="426"/>
      <c r="D27" s="425"/>
      <c r="E27" s="425"/>
      <c r="F27" s="425"/>
      <c r="G27" s="425"/>
      <c r="H27" s="1208"/>
      <c r="I27" s="1209"/>
      <c r="J27" s="1210" t="s">
        <v>430</v>
      </c>
      <c r="K27" s="1211">
        <f>K20-K25-K26</f>
        <v>17772543.58433333</v>
      </c>
      <c r="L27" s="1212">
        <f>L20-L25-L26</f>
        <v>5369024.1025718469</v>
      </c>
      <c r="M27" s="1212">
        <f t="shared" ref="M27:O27" si="8">M20-M25-M26</f>
        <v>17056426.945</v>
      </c>
      <c r="N27" s="1212">
        <f t="shared" si="8"/>
        <v>5299643.9064631294</v>
      </c>
      <c r="O27" s="1212">
        <f t="shared" si="8"/>
        <v>69380.196108718461</v>
      </c>
      <c r="P27" s="1211">
        <f>P20-P25-P26</f>
        <v>10183966.250780001</v>
      </c>
      <c r="Q27" s="1212">
        <f>Q20-Q25-Q26</f>
        <v>3102975.7010298595</v>
      </c>
      <c r="R27" s="1213">
        <f>Q27-L27</f>
        <v>-2266048.4015419874</v>
      </c>
      <c r="S27" s="742"/>
      <c r="T27" s="261"/>
      <c r="U27" s="254">
        <f>SUM(U7:U14)-U25</f>
        <v>4169939.4882200006</v>
      </c>
      <c r="V27" s="254">
        <f>SUM(V7:V14)-V25</f>
        <v>1278691.0822176565</v>
      </c>
      <c r="W27" s="254">
        <f>SUM(W5:W14)-W25</f>
        <v>3429480.9453333332</v>
      </c>
      <c r="X27" s="254">
        <f>SUM(X5:X14)-X25</f>
        <v>1051633.1744912248</v>
      </c>
      <c r="Y27" s="836">
        <f>L27-Q27-V27-X27</f>
        <v>-64275.855166893918</v>
      </c>
    </row>
    <row r="28" spans="2:25" ht="15.75" thickBot="1">
      <c r="B28" s="260"/>
      <c r="C28" s="426"/>
      <c r="D28" s="425"/>
      <c r="E28" s="425"/>
      <c r="F28" s="425"/>
      <c r="G28" s="425"/>
      <c r="H28" s="425"/>
      <c r="I28" s="425"/>
      <c r="J28" s="1220" t="s">
        <v>2034</v>
      </c>
      <c r="K28" s="425"/>
      <c r="L28" s="425"/>
      <c r="M28" s="425"/>
      <c r="N28" s="425"/>
      <c r="O28" s="742">
        <f>+L27-N27</f>
        <v>69380.196108717471</v>
      </c>
      <c r="P28" s="425"/>
      <c r="Q28" s="425"/>
      <c r="R28" s="1216"/>
      <c r="S28" s="425"/>
      <c r="T28" s="261"/>
    </row>
    <row r="29" spans="2:25" ht="15.75" thickBot="1">
      <c r="B29" s="260"/>
      <c r="C29" s="426"/>
      <c r="D29" s="425"/>
      <c r="E29" s="425"/>
      <c r="F29" s="425"/>
      <c r="G29" s="425"/>
      <c r="H29" s="425"/>
      <c r="I29" s="425"/>
      <c r="J29" s="1221" t="s">
        <v>2037</v>
      </c>
      <c r="K29" s="1211">
        <f>SUM(K5:K6,K11:K12)-D41</f>
        <v>4996146.9453333328</v>
      </c>
      <c r="L29" s="1212">
        <f>K29*I35</f>
        <v>1509318.755765009</v>
      </c>
      <c r="M29" s="1212"/>
      <c r="N29" s="1212"/>
      <c r="O29" s="1212"/>
      <c r="P29" s="1211">
        <f>SUM(P5:P6,P11:P12)-1600000</f>
        <v>1566666</v>
      </c>
      <c r="Q29" s="1212">
        <f>P29*K35</f>
        <v>477351.00548446068</v>
      </c>
      <c r="R29" s="1213">
        <f>Q29-L29</f>
        <v>-1031967.7502805484</v>
      </c>
      <c r="S29" s="425"/>
      <c r="T29" s="261"/>
    </row>
    <row r="30" spans="2:25" ht="15.75" thickBot="1">
      <c r="B30" s="260"/>
      <c r="C30" s="426"/>
      <c r="D30" s="425"/>
      <c r="E30" s="425"/>
      <c r="F30" s="425"/>
      <c r="G30" s="425"/>
      <c r="H30" s="425"/>
      <c r="I30" s="425"/>
      <c r="J30" s="1221" t="s">
        <v>2035</v>
      </c>
      <c r="K30" s="1211">
        <f>K27-K29</f>
        <v>12776396.638999999</v>
      </c>
      <c r="L30" s="1212">
        <f>L27-L29</f>
        <v>3859705.3468068382</v>
      </c>
      <c r="M30" s="1212"/>
      <c r="N30" s="1212"/>
      <c r="O30" s="1212"/>
      <c r="P30" s="1211">
        <f>P27-P29</f>
        <v>8617300.2507800013</v>
      </c>
      <c r="Q30" s="1212">
        <f>Q27-Q29</f>
        <v>2625624.6955453986</v>
      </c>
      <c r="R30" s="1213">
        <f>Q30-L30</f>
        <v>-1234080.6512614395</v>
      </c>
      <c r="S30" s="425"/>
      <c r="T30" s="261"/>
    </row>
    <row r="31" spans="2:25">
      <c r="B31" s="260"/>
      <c r="C31" s="426"/>
      <c r="D31" s="425"/>
      <c r="E31" s="425"/>
      <c r="F31" s="425"/>
      <c r="G31" s="425"/>
      <c r="H31" s="425"/>
      <c r="I31" s="425"/>
      <c r="J31" s="425"/>
      <c r="K31" s="425"/>
      <c r="L31" s="425"/>
      <c r="M31" s="425"/>
      <c r="N31" s="425"/>
      <c r="O31" s="425"/>
      <c r="P31" s="425"/>
      <c r="Q31" s="425"/>
      <c r="R31" s="425"/>
      <c r="S31" s="425"/>
      <c r="T31" s="261"/>
    </row>
    <row r="32" spans="2:25" ht="15.75" thickBot="1">
      <c r="B32" s="262"/>
      <c r="C32" s="1222"/>
      <c r="D32" s="983"/>
      <c r="E32" s="983"/>
      <c r="F32" s="983"/>
      <c r="G32" s="983"/>
      <c r="H32" s="983"/>
      <c r="I32" s="983"/>
      <c r="J32" s="1223"/>
      <c r="K32" s="1223"/>
      <c r="L32" s="983"/>
      <c r="M32" s="983"/>
      <c r="N32" s="983"/>
      <c r="O32" s="983"/>
      <c r="P32" s="983"/>
      <c r="Q32" s="983"/>
      <c r="R32" s="983"/>
      <c r="S32" s="983"/>
      <c r="T32" s="263"/>
    </row>
    <row r="34" spans="3:17" s="238" customFormat="1">
      <c r="C34" s="237"/>
      <c r="J34" s="239"/>
      <c r="K34" s="239"/>
    </row>
    <row r="35" spans="3:17">
      <c r="D35" s="209" t="s">
        <v>217</v>
      </c>
      <c r="E35" s="209" t="s">
        <v>216</v>
      </c>
      <c r="F35" s="209" t="s">
        <v>215</v>
      </c>
      <c r="G35" s="209" t="s">
        <v>214</v>
      </c>
      <c r="H35" s="209" t="s">
        <v>261</v>
      </c>
      <c r="I35" s="240">
        <f>1/P53</f>
        <v>0.30209655005739833</v>
      </c>
      <c r="J35" s="209" t="s">
        <v>2032</v>
      </c>
      <c r="K35" s="240">
        <f>1/P49</f>
        <v>0.30469226081657524</v>
      </c>
      <c r="L35" s="209" t="s">
        <v>266</v>
      </c>
    </row>
    <row r="36" spans="3:17" ht="15.75">
      <c r="C36" s="209" t="s">
        <v>213</v>
      </c>
      <c r="D36" s="241">
        <f>Feuil2!I27</f>
        <v>21818.723999999998</v>
      </c>
      <c r="G36" s="242">
        <f t="shared" ref="G36:G45" si="9">D36*$I$35+E36+F36</f>
        <v>6591.3612470545577</v>
      </c>
      <c r="H36" s="801">
        <f>D36</f>
        <v>21818.723999999998</v>
      </c>
      <c r="I36" s="240">
        <f>1/3.11014</f>
        <v>0.32152893438880564</v>
      </c>
      <c r="J36" s="209" t="s">
        <v>2033</v>
      </c>
      <c r="K36" s="264" t="s">
        <v>213</v>
      </c>
      <c r="L36" s="265"/>
      <c r="M36" s="265"/>
      <c r="N36" s="265"/>
      <c r="O36" s="265"/>
      <c r="P36" s="266">
        <v>4404.674</v>
      </c>
      <c r="Q36" s="243">
        <f>P36</f>
        <v>4404.674</v>
      </c>
    </row>
    <row r="37" spans="3:17" ht="15.75">
      <c r="C37" s="209" t="s">
        <v>212</v>
      </c>
      <c r="D37" s="241">
        <f>Feuil2!I28</f>
        <v>0</v>
      </c>
      <c r="G37" s="242">
        <f t="shared" si="9"/>
        <v>0</v>
      </c>
      <c r="H37" s="243">
        <f>D37</f>
        <v>0</v>
      </c>
      <c r="K37" s="264" t="s">
        <v>212</v>
      </c>
      <c r="L37" s="265"/>
      <c r="M37" s="265"/>
      <c r="N37" s="265"/>
      <c r="O37" s="265"/>
      <c r="P37" s="266">
        <v>23829.768</v>
      </c>
      <c r="Q37" s="243">
        <f>P37</f>
        <v>23829.768</v>
      </c>
    </row>
    <row r="38" spans="3:17" ht="15.75">
      <c r="C38" s="209" t="s">
        <v>211</v>
      </c>
      <c r="D38" s="241">
        <f>Feuil2!I29</f>
        <v>341558.32199999999</v>
      </c>
      <c r="G38" s="242">
        <f t="shared" si="9"/>
        <v>103183.59071959397</v>
      </c>
      <c r="H38" s="801">
        <f>D38</f>
        <v>341558.32199999999</v>
      </c>
      <c r="J38" s="209"/>
      <c r="K38" s="264" t="s">
        <v>211</v>
      </c>
      <c r="L38" s="265"/>
      <c r="M38" s="265"/>
      <c r="N38" s="265"/>
      <c r="O38" s="265"/>
      <c r="P38" s="266">
        <v>0</v>
      </c>
      <c r="Q38" s="243">
        <f>P38</f>
        <v>0</v>
      </c>
    </row>
    <row r="39" spans="3:17" ht="15.75">
      <c r="C39" s="244" t="s">
        <v>210</v>
      </c>
      <c r="D39" s="245">
        <v>0</v>
      </c>
      <c r="F39" s="246">
        <f>+Feuil2!I30</f>
        <v>228333.74</v>
      </c>
      <c r="G39" s="242">
        <f t="shared" si="9"/>
        <v>228333.74</v>
      </c>
      <c r="H39" s="802">
        <f>F39/$I$36</f>
        <v>710149.89812359994</v>
      </c>
      <c r="J39" s="209"/>
      <c r="K39" s="267" t="s">
        <v>210</v>
      </c>
      <c r="L39" s="268"/>
      <c r="M39" s="268"/>
      <c r="N39" s="268"/>
      <c r="O39" s="268"/>
      <c r="P39" s="269">
        <v>4.21</v>
      </c>
      <c r="Q39" s="242">
        <f>P39/$K$35</f>
        <v>13.817220000000001</v>
      </c>
    </row>
    <row r="40" spans="3:17" ht="15.75">
      <c r="C40" s="244" t="s">
        <v>209</v>
      </c>
      <c r="D40" s="245">
        <v>0</v>
      </c>
      <c r="E40" s="247">
        <f>Feuil2!I31</f>
        <v>207755.5</v>
      </c>
      <c r="G40" s="242">
        <f t="shared" si="9"/>
        <v>207755.5</v>
      </c>
      <c r="H40" s="802">
        <f>E40/$I$35</f>
        <v>687712.2561</v>
      </c>
      <c r="J40" s="209"/>
      <c r="K40" s="267" t="s">
        <v>209</v>
      </c>
      <c r="L40" s="268"/>
      <c r="M40" s="268"/>
      <c r="N40" s="268"/>
      <c r="O40" s="268"/>
      <c r="P40" s="269">
        <v>474995</v>
      </c>
      <c r="Q40" s="254">
        <f>P40/$K$35</f>
        <v>1558933.59</v>
      </c>
    </row>
    <row r="41" spans="3:17" ht="15.75">
      <c r="C41" s="209" t="s">
        <v>171</v>
      </c>
      <c r="D41" s="248">
        <f>Feuil2!I32</f>
        <v>123204.90399999999</v>
      </c>
      <c r="G41" s="242">
        <f t="shared" si="9"/>
        <v>37219.776448552955</v>
      </c>
      <c r="H41" s="801">
        <f>D41</f>
        <v>123204.90399999999</v>
      </c>
      <c r="J41" s="209"/>
      <c r="K41" s="264" t="s">
        <v>171</v>
      </c>
      <c r="L41" s="265"/>
      <c r="M41" s="265"/>
      <c r="N41" s="265"/>
      <c r="O41" s="265"/>
      <c r="P41" s="266">
        <v>1599997.263</v>
      </c>
      <c r="Q41" s="243">
        <f>P41</f>
        <v>1599997.263</v>
      </c>
    </row>
    <row r="42" spans="3:17" ht="15.75">
      <c r="C42" s="244" t="s">
        <v>208</v>
      </c>
      <c r="D42" s="245">
        <f>+Feuil2!I34+Feuil2!I33</f>
        <v>79955.020999999993</v>
      </c>
      <c r="E42" s="246">
        <v>5.69</v>
      </c>
      <c r="G42" s="242">
        <f t="shared" si="9"/>
        <v>24159.82600386683</v>
      </c>
      <c r="H42" s="802">
        <f>+D42+E42/$I$35</f>
        <v>79973.856037999998</v>
      </c>
      <c r="J42" s="209"/>
      <c r="K42" s="264" t="s">
        <v>1999</v>
      </c>
      <c r="L42" s="265"/>
      <c r="M42" s="265"/>
      <c r="N42" s="265"/>
      <c r="O42" s="265"/>
      <c r="P42" s="266">
        <v>4560.8389999999999</v>
      </c>
      <c r="Q42" s="243">
        <f>P42</f>
        <v>4560.8389999999999</v>
      </c>
    </row>
    <row r="43" spans="3:17" ht="15.75">
      <c r="C43" s="209" t="s">
        <v>207</v>
      </c>
      <c r="D43" s="241">
        <f>Feuil2!I36</f>
        <v>106422.912</v>
      </c>
      <c r="G43" s="242">
        <f t="shared" si="9"/>
        <v>32149.994562262094</v>
      </c>
      <c r="H43" s="801">
        <f>D43</f>
        <v>106422.912</v>
      </c>
      <c r="J43" s="209"/>
      <c r="K43" s="264" t="s">
        <v>207</v>
      </c>
      <c r="L43" s="265"/>
      <c r="M43" s="265"/>
      <c r="N43" s="265"/>
      <c r="O43" s="265"/>
      <c r="P43" s="266">
        <v>24915.95</v>
      </c>
      <c r="Q43" s="243">
        <f>P43</f>
        <v>24915.95</v>
      </c>
    </row>
    <row r="44" spans="3:17" ht="15.75">
      <c r="C44" s="209" t="s">
        <v>206</v>
      </c>
      <c r="D44" s="241">
        <f>+Feuil2!I37</f>
        <v>165111.03400000001</v>
      </c>
      <c r="G44" s="242">
        <f t="shared" si="9"/>
        <v>49879.473747809803</v>
      </c>
      <c r="H44" s="801">
        <f>D44</f>
        <v>165111.03400000001</v>
      </c>
      <c r="J44" s="209"/>
      <c r="K44" s="264" t="s">
        <v>206</v>
      </c>
      <c r="L44" s="265"/>
      <c r="M44" s="265"/>
      <c r="N44" s="265"/>
      <c r="O44" s="265"/>
      <c r="P44" s="266">
        <v>0</v>
      </c>
      <c r="Q44" s="243">
        <f>P44</f>
        <v>0</v>
      </c>
    </row>
    <row r="45" spans="3:17" ht="15.75">
      <c r="C45" s="244" t="s">
        <v>205</v>
      </c>
      <c r="D45" s="246"/>
      <c r="E45" s="246">
        <v>0</v>
      </c>
      <c r="G45" s="242">
        <f t="shared" si="9"/>
        <v>0</v>
      </c>
      <c r="H45" s="242">
        <f>E45/$I$35</f>
        <v>0</v>
      </c>
      <c r="J45" s="209"/>
      <c r="K45" s="267" t="s">
        <v>205</v>
      </c>
      <c r="L45" s="268"/>
      <c r="M45" s="268"/>
      <c r="N45" s="268"/>
      <c r="O45" s="268"/>
      <c r="P45" s="269">
        <v>0</v>
      </c>
      <c r="Q45" s="243">
        <f>P45</f>
        <v>0</v>
      </c>
    </row>
    <row r="46" spans="3:17" ht="15.75">
      <c r="C46" s="244"/>
      <c r="D46" s="246"/>
      <c r="E46" s="246"/>
      <c r="G46" s="242"/>
      <c r="H46" s="242"/>
      <c r="J46" s="209"/>
      <c r="K46" s="267"/>
      <c r="L46" s="268"/>
      <c r="M46" s="268"/>
      <c r="N46" s="268"/>
      <c r="O46" s="268"/>
      <c r="P46" s="269"/>
      <c r="Q46" s="243"/>
    </row>
    <row r="47" spans="3:17">
      <c r="C47" s="209"/>
      <c r="D47" s="249"/>
      <c r="E47" s="249"/>
      <c r="I47" s="250" t="s">
        <v>373</v>
      </c>
      <c r="J47" s="209"/>
      <c r="K47" s="209"/>
    </row>
    <row r="48" spans="3:17">
      <c r="C48" s="251" t="s">
        <v>204</v>
      </c>
      <c r="D48" s="252">
        <v>10843.1</v>
      </c>
      <c r="E48" s="252"/>
      <c r="F48" s="252"/>
      <c r="G48" s="253">
        <f>SUM(G36:G45)</f>
        <v>689273.26272914011</v>
      </c>
      <c r="H48" s="253">
        <f>SUM(H36:H45)</f>
        <v>2235951.9062616001</v>
      </c>
      <c r="I48" s="803">
        <v>2274655.8420000002</v>
      </c>
      <c r="J48" s="254"/>
      <c r="K48" s="209"/>
      <c r="L48" s="206" t="s">
        <v>425</v>
      </c>
      <c r="M48" s="206"/>
      <c r="N48" s="206"/>
      <c r="O48" s="206"/>
      <c r="P48" s="206" t="s">
        <v>426</v>
      </c>
    </row>
    <row r="49" spans="3:16">
      <c r="C49" s="251" t="s">
        <v>203</v>
      </c>
      <c r="D49" s="252"/>
      <c r="E49" s="252"/>
      <c r="F49" s="252"/>
      <c r="G49" s="253">
        <f>G45</f>
        <v>0</v>
      </c>
      <c r="H49" s="253">
        <f>H45</f>
        <v>0</v>
      </c>
      <c r="I49" s="803">
        <f>+D48</f>
        <v>10843.1</v>
      </c>
      <c r="J49" s="209"/>
      <c r="K49" s="209"/>
      <c r="L49" s="255">
        <v>44561</v>
      </c>
      <c r="M49" s="255"/>
      <c r="N49" s="255"/>
      <c r="O49" s="255"/>
      <c r="P49" s="207">
        <v>3.282</v>
      </c>
    </row>
    <row r="50" spans="3:16">
      <c r="J50" s="209"/>
      <c r="K50" s="209"/>
      <c r="L50" s="255">
        <v>44651</v>
      </c>
      <c r="M50" s="255"/>
      <c r="N50" s="255"/>
      <c r="O50" s="255"/>
      <c r="P50" s="207">
        <v>3.2997000000000001</v>
      </c>
    </row>
    <row r="51" spans="3:16">
      <c r="H51" s="209" t="s">
        <v>2000</v>
      </c>
      <c r="J51" s="209"/>
      <c r="K51" s="209"/>
      <c r="L51" s="255">
        <v>44742</v>
      </c>
      <c r="M51" s="255"/>
      <c r="N51" s="255"/>
      <c r="O51" s="255"/>
      <c r="P51" s="207">
        <v>3.2502900000000001</v>
      </c>
    </row>
    <row r="52" spans="3:16">
      <c r="L52" s="255">
        <v>44834</v>
      </c>
      <c r="M52" s="255"/>
      <c r="N52" s="255"/>
      <c r="O52" s="255"/>
      <c r="P52" s="207">
        <v>3.21841</v>
      </c>
    </row>
    <row r="53" spans="3:16">
      <c r="L53" s="255">
        <v>44926</v>
      </c>
      <c r="M53" s="255"/>
      <c r="N53" s="255"/>
      <c r="O53" s="255"/>
      <c r="P53" s="207">
        <v>3.3102</v>
      </c>
    </row>
  </sheetData>
  <mergeCells count="5">
    <mergeCell ref="C14:C15"/>
    <mergeCell ref="C16:C17"/>
    <mergeCell ref="K3:L3"/>
    <mergeCell ref="P3:Q3"/>
    <mergeCell ref="M3:N3"/>
  </mergeCells>
  <phoneticPr fontId="159" type="noConversion"/>
  <pageMargins left="0.70866141732283516" right="0.70866141732283516" top="0.74803149606299213" bottom="0.74803149606299213" header="0.31496062992126012" footer="0.31496062992126012"/>
  <pageSetup paperSize="9" fitToHeight="3" orientation="landscape" r:id="rId1"/>
  <ignoredErrors>
    <ignoredError sqref="K21:L22" formulaRange="1"/>
    <ignoredError sqref="P25" formula="1"/>
  </ignoredError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872917-E063-4622-B3ED-8635B90ED544}">
  <sheetPr codeName="Sheet14"/>
  <dimension ref="A2:AA47"/>
  <sheetViews>
    <sheetView showGridLines="0" topLeftCell="A15" zoomScale="80" zoomScaleNormal="80" workbookViewId="0">
      <selection activeCell="C47" sqref="C47"/>
    </sheetView>
  </sheetViews>
  <sheetFormatPr baseColWidth="10" defaultColWidth="7.875" defaultRowHeight="12.75"/>
  <cols>
    <col min="1" max="3" width="7.875" style="108"/>
    <col min="4" max="4" width="11.125" style="108" bestFit="1" customWidth="1"/>
    <col min="5" max="5" width="12.125" style="108" bestFit="1" customWidth="1"/>
    <col min="6" max="6" width="8.75" style="108" bestFit="1" customWidth="1"/>
    <col min="7" max="7" width="9" style="108" bestFit="1" customWidth="1"/>
    <col min="8" max="8" width="8.75" style="108" bestFit="1" customWidth="1"/>
    <col min="9" max="13" width="7.875" style="108"/>
    <col min="14" max="14" width="11" style="108" bestFit="1" customWidth="1"/>
    <col min="15" max="17" width="9.875" style="108" bestFit="1" customWidth="1"/>
    <col min="18" max="16384" width="7.875" style="108"/>
  </cols>
  <sheetData>
    <row r="2" spans="1:27" ht="19.5" thickBot="1">
      <c r="B2" s="107" t="str">
        <f>[79]RO_table!B33</f>
        <v>NOUR Group - Financial strenght</v>
      </c>
      <c r="I2" s="124"/>
    </row>
    <row r="3" spans="1:27" ht="13.5" thickBot="1">
      <c r="A3" s="417"/>
      <c r="B3" s="418"/>
      <c r="C3" s="418"/>
      <c r="D3" s="418"/>
      <c r="E3" s="418"/>
      <c r="F3" s="418"/>
      <c r="G3" s="418"/>
      <c r="H3" s="418"/>
      <c r="I3" s="418"/>
      <c r="J3" s="418"/>
      <c r="K3" s="419"/>
    </row>
    <row r="4" spans="1:27" ht="13.5" thickBot="1">
      <c r="A4" s="420"/>
      <c r="K4" s="421"/>
      <c r="M4" s="417"/>
      <c r="N4" s="418"/>
      <c r="O4" s="418"/>
      <c r="P4" s="418"/>
      <c r="Q4" s="418"/>
      <c r="R4" s="418"/>
      <c r="S4" s="418"/>
      <c r="T4" s="418"/>
      <c r="U4" s="418"/>
      <c r="V4" s="418"/>
      <c r="W4" s="418"/>
      <c r="X4" s="418"/>
      <c r="Y4" s="418"/>
      <c r="Z4" s="418"/>
      <c r="AA4" s="419"/>
    </row>
    <row r="5" spans="1:27">
      <c r="A5" s="420"/>
      <c r="B5" s="109"/>
      <c r="C5" s="110"/>
      <c r="D5" s="110"/>
      <c r="E5" s="110"/>
      <c r="F5" s="111"/>
      <c r="K5" s="421"/>
      <c r="M5" s="420"/>
      <c r="AA5" s="421"/>
    </row>
    <row r="6" spans="1:27" ht="13.5" thickBot="1">
      <c r="A6" s="420"/>
      <c r="B6" s="112"/>
      <c r="C6" s="125"/>
      <c r="D6" s="125"/>
      <c r="E6" s="125"/>
      <c r="F6" s="113"/>
      <c r="K6" s="421"/>
      <c r="M6" s="420"/>
      <c r="AA6" s="421"/>
    </row>
    <row r="7" spans="1:27">
      <c r="A7" s="420"/>
      <c r="B7" s="112"/>
      <c r="C7" s="125"/>
      <c r="D7" s="125"/>
      <c r="E7" s="125"/>
      <c r="F7" s="113"/>
      <c r="K7" s="421"/>
      <c r="M7" s="420"/>
      <c r="N7" s="417"/>
      <c r="O7" s="418"/>
      <c r="P7" s="418"/>
      <c r="Q7" s="418"/>
      <c r="R7" s="418"/>
      <c r="S7" s="418"/>
      <c r="T7" s="418"/>
      <c r="U7" s="418"/>
      <c r="V7" s="419"/>
      <c r="AA7" s="421"/>
    </row>
    <row r="8" spans="1:27">
      <c r="A8" s="420"/>
      <c r="B8" s="112"/>
      <c r="C8" s="125"/>
      <c r="D8" s="125"/>
      <c r="E8" s="125"/>
      <c r="F8" s="113"/>
      <c r="K8" s="421"/>
      <c r="M8" s="420"/>
      <c r="N8" s="420"/>
      <c r="V8" s="421"/>
      <c r="AA8" s="421"/>
    </row>
    <row r="9" spans="1:27">
      <c r="A9" s="420"/>
      <c r="B9" s="112"/>
      <c r="C9" s="125"/>
      <c r="D9" s="125"/>
      <c r="E9" s="125"/>
      <c r="F9" s="113"/>
      <c r="K9" s="421"/>
      <c r="M9" s="420"/>
      <c r="N9" s="420"/>
      <c r="O9" s="1033"/>
      <c r="P9" s="1033"/>
      <c r="Q9" s="1033"/>
      <c r="R9" s="1033"/>
      <c r="S9" s="1033"/>
      <c r="T9" s="1033"/>
      <c r="U9" s="1033"/>
      <c r="V9" s="421"/>
      <c r="AA9" s="421"/>
    </row>
    <row r="10" spans="1:27">
      <c r="A10" s="420"/>
      <c r="B10" s="112"/>
      <c r="C10" s="125"/>
      <c r="D10" s="125"/>
      <c r="E10" s="125"/>
      <c r="F10" s="113"/>
      <c r="K10" s="421"/>
      <c r="M10" s="420"/>
      <c r="N10" s="420"/>
      <c r="O10" s="1033"/>
      <c r="P10" s="1033"/>
      <c r="Q10" s="1033"/>
      <c r="R10" s="1033"/>
      <c r="S10" s="1033"/>
      <c r="T10" s="1033"/>
      <c r="U10" s="1033"/>
      <c r="V10" s="421"/>
      <c r="AA10" s="421"/>
    </row>
    <row r="11" spans="1:27">
      <c r="A11" s="420"/>
      <c r="B11" s="112"/>
      <c r="C11" s="125"/>
      <c r="D11" s="125"/>
      <c r="E11" s="125"/>
      <c r="F11" s="113"/>
      <c r="K11" s="421"/>
      <c r="M11" s="420"/>
      <c r="N11" s="420"/>
      <c r="O11" s="1033"/>
      <c r="P11" s="1033"/>
      <c r="Q11" s="1033"/>
      <c r="R11" s="1033"/>
      <c r="S11" s="1033"/>
      <c r="T11" s="1033"/>
      <c r="U11" s="1033"/>
      <c r="V11" s="421"/>
      <c r="AA11" s="421"/>
    </row>
    <row r="12" spans="1:27">
      <c r="A12" s="420"/>
      <c r="B12" s="112"/>
      <c r="C12" s="125"/>
      <c r="D12" s="125"/>
      <c r="E12" s="125"/>
      <c r="F12" s="113"/>
      <c r="K12" s="421"/>
      <c r="M12" s="420"/>
      <c r="N12" s="420"/>
      <c r="O12" s="1033"/>
      <c r="P12" s="1033"/>
      <c r="Q12" s="1033"/>
      <c r="R12" s="1033"/>
      <c r="S12" s="1033"/>
      <c r="T12" s="1033"/>
      <c r="U12" s="1033"/>
      <c r="V12" s="421"/>
      <c r="AA12" s="421"/>
    </row>
    <row r="13" spans="1:27">
      <c r="A13" s="420"/>
      <c r="B13" s="112"/>
      <c r="C13" s="125"/>
      <c r="D13" s="125"/>
      <c r="E13" s="125"/>
      <c r="F13" s="113"/>
      <c r="K13" s="421"/>
      <c r="M13" s="420"/>
      <c r="N13" s="420"/>
      <c r="O13" s="1033"/>
      <c r="P13" s="1033"/>
      <c r="Q13" s="1033"/>
      <c r="R13" s="1033"/>
      <c r="S13" s="1033"/>
      <c r="T13" s="1033"/>
      <c r="U13" s="1033"/>
      <c r="V13" s="421"/>
      <c r="AA13" s="421"/>
    </row>
    <row r="14" spans="1:27">
      <c r="A14" s="420"/>
      <c r="B14" s="112"/>
      <c r="C14" s="125"/>
      <c r="D14" s="125"/>
      <c r="E14" s="125"/>
      <c r="F14" s="113"/>
      <c r="K14" s="421"/>
      <c r="M14" s="420"/>
      <c r="N14" s="420"/>
      <c r="O14" s="1033"/>
      <c r="P14" s="1033"/>
      <c r="Q14" s="1033"/>
      <c r="R14" s="1033"/>
      <c r="S14" s="1033"/>
      <c r="T14" s="1033"/>
      <c r="U14" s="1033"/>
      <c r="V14" s="421"/>
      <c r="AA14" s="421"/>
    </row>
    <row r="15" spans="1:27">
      <c r="A15" s="420"/>
      <c r="B15" s="112"/>
      <c r="C15" s="125"/>
      <c r="D15" s="125"/>
      <c r="E15" s="125"/>
      <c r="F15" s="113"/>
      <c r="K15" s="421"/>
      <c r="M15" s="420"/>
      <c r="N15" s="420"/>
      <c r="O15" s="1033"/>
      <c r="P15" s="1033"/>
      <c r="Q15" s="1033"/>
      <c r="R15" s="1033"/>
      <c r="S15" s="1033"/>
      <c r="T15" s="1033"/>
      <c r="U15" s="1033"/>
      <c r="V15" s="421"/>
      <c r="AA15" s="421"/>
    </row>
    <row r="16" spans="1:27">
      <c r="A16" s="420"/>
      <c r="B16" s="112"/>
      <c r="C16" s="125"/>
      <c r="D16" s="125"/>
      <c r="E16" s="125"/>
      <c r="F16" s="113"/>
      <c r="K16" s="421"/>
      <c r="M16" s="420"/>
      <c r="N16" s="420"/>
      <c r="O16" s="1033"/>
      <c r="P16" s="1033"/>
      <c r="Q16" s="1033"/>
      <c r="R16" s="1033"/>
      <c r="S16" s="1033"/>
      <c r="T16" s="1033"/>
      <c r="U16" s="1033"/>
      <c r="V16" s="421"/>
      <c r="AA16" s="421"/>
    </row>
    <row r="17" spans="1:27">
      <c r="A17" s="420"/>
      <c r="B17" s="112"/>
      <c r="C17" s="125"/>
      <c r="D17" s="125"/>
      <c r="E17" s="125"/>
      <c r="F17" s="113"/>
      <c r="K17" s="421"/>
      <c r="M17" s="420"/>
      <c r="N17" s="420"/>
      <c r="O17" s="1033"/>
      <c r="P17" s="1033"/>
      <c r="Q17" s="1033"/>
      <c r="R17" s="1033"/>
      <c r="S17" s="1033"/>
      <c r="T17" s="1033"/>
      <c r="U17" s="1033"/>
      <c r="V17" s="421"/>
      <c r="AA17" s="421"/>
    </row>
    <row r="18" spans="1:27">
      <c r="A18" s="420"/>
      <c r="B18" s="112"/>
      <c r="C18" s="125"/>
      <c r="D18" s="125"/>
      <c r="E18" s="125"/>
      <c r="F18" s="113"/>
      <c r="K18" s="421"/>
      <c r="M18" s="420"/>
      <c r="N18" s="420"/>
      <c r="O18" s="1033"/>
      <c r="P18" s="1033"/>
      <c r="Q18" s="1033"/>
      <c r="R18" s="1033"/>
      <c r="S18" s="1033"/>
      <c r="T18" s="1033"/>
      <c r="U18" s="1033"/>
      <c r="V18" s="421"/>
      <c r="AA18" s="421"/>
    </row>
    <row r="19" spans="1:27">
      <c r="A19" s="420"/>
      <c r="B19" s="112"/>
      <c r="C19" s="125"/>
      <c r="D19" s="125"/>
      <c r="E19" s="125"/>
      <c r="F19" s="113"/>
      <c r="K19" s="421"/>
      <c r="M19" s="420"/>
      <c r="N19" s="420"/>
      <c r="O19" s="1033"/>
      <c r="P19" s="1033"/>
      <c r="Q19" s="1033"/>
      <c r="R19" s="1033"/>
      <c r="S19" s="1033"/>
      <c r="T19" s="1033"/>
      <c r="U19" s="1033"/>
      <c r="V19" s="421"/>
      <c r="AA19" s="421"/>
    </row>
    <row r="20" spans="1:27">
      <c r="A20" s="420"/>
      <c r="B20" s="112"/>
      <c r="C20" s="125"/>
      <c r="D20" s="125"/>
      <c r="E20" s="125"/>
      <c r="F20" s="113"/>
      <c r="K20" s="421"/>
      <c r="M20" s="420"/>
      <c r="N20" s="420"/>
      <c r="O20" s="1033"/>
      <c r="P20" s="1033"/>
      <c r="Q20" s="1033"/>
      <c r="R20" s="1033"/>
      <c r="S20" s="1033"/>
      <c r="T20" s="1033"/>
      <c r="U20" s="1033"/>
      <c r="V20" s="421"/>
      <c r="AA20" s="421"/>
    </row>
    <row r="21" spans="1:27">
      <c r="A21" s="420"/>
      <c r="B21" s="112"/>
      <c r="C21" s="125"/>
      <c r="D21" s="125"/>
      <c r="E21" s="125"/>
      <c r="F21" s="113"/>
      <c r="K21" s="421"/>
      <c r="M21" s="420"/>
      <c r="N21" s="420"/>
      <c r="O21" s="1033"/>
      <c r="P21" s="1033"/>
      <c r="Q21" s="1033"/>
      <c r="R21" s="1033"/>
      <c r="S21" s="1033"/>
      <c r="T21" s="1033"/>
      <c r="U21" s="1033"/>
      <c r="V21" s="421"/>
      <c r="AA21" s="421"/>
    </row>
    <row r="22" spans="1:27">
      <c r="A22" s="420"/>
      <c r="B22" s="112"/>
      <c r="C22" s="125"/>
      <c r="D22" s="125"/>
      <c r="E22" s="125"/>
      <c r="F22" s="113"/>
      <c r="K22" s="421"/>
      <c r="M22" s="420"/>
      <c r="N22" s="420"/>
      <c r="O22" s="1033"/>
      <c r="P22" s="1033"/>
      <c r="Q22" s="1033"/>
      <c r="R22" s="1033"/>
      <c r="S22" s="1033"/>
      <c r="T22" s="1033"/>
      <c r="U22" s="1033"/>
      <c r="V22" s="421"/>
      <c r="AA22" s="421"/>
    </row>
    <row r="23" spans="1:27">
      <c r="A23" s="420"/>
      <c r="B23" s="112"/>
      <c r="C23" s="125"/>
      <c r="D23" s="125"/>
      <c r="E23" s="125"/>
      <c r="F23" s="113"/>
      <c r="K23" s="421"/>
      <c r="M23" s="420"/>
      <c r="N23" s="420"/>
      <c r="O23" s="1033"/>
      <c r="P23" s="1033"/>
      <c r="Q23" s="1033"/>
      <c r="R23" s="1033"/>
      <c r="S23" s="1033"/>
      <c r="T23" s="1033"/>
      <c r="U23" s="1033"/>
      <c r="V23" s="421"/>
      <c r="AA23" s="421"/>
    </row>
    <row r="24" spans="1:27">
      <c r="A24" s="420"/>
      <c r="B24" s="112"/>
      <c r="C24" s="125"/>
      <c r="D24" s="125"/>
      <c r="E24" s="125"/>
      <c r="F24" s="113"/>
      <c r="K24" s="421"/>
      <c r="M24" s="420"/>
      <c r="N24" s="420"/>
      <c r="O24" s="1033"/>
      <c r="P24" s="1033"/>
      <c r="Q24" s="1033"/>
      <c r="R24" s="1033"/>
      <c r="S24" s="1033"/>
      <c r="T24" s="1033"/>
      <c r="U24" s="1033"/>
      <c r="V24" s="421"/>
      <c r="AA24" s="421"/>
    </row>
    <row r="25" spans="1:27">
      <c r="A25" s="420"/>
      <c r="B25" s="112"/>
      <c r="C25" s="125"/>
      <c r="D25" s="125"/>
      <c r="E25" s="125"/>
      <c r="F25" s="113"/>
      <c r="K25" s="421"/>
      <c r="M25" s="420"/>
      <c r="N25" s="420"/>
      <c r="O25" s="1033"/>
      <c r="P25" s="1033"/>
      <c r="Q25" s="1033"/>
      <c r="R25" s="1033"/>
      <c r="S25" s="1033"/>
      <c r="T25" s="1033"/>
      <c r="U25" s="1033"/>
      <c r="V25" s="421"/>
      <c r="AA25" s="421"/>
    </row>
    <row r="26" spans="1:27" ht="13.5" thickBot="1">
      <c r="A26" s="420"/>
      <c r="B26" s="112"/>
      <c r="C26" s="125"/>
      <c r="D26" s="125"/>
      <c r="E26" s="125"/>
      <c r="F26" s="113"/>
      <c r="K26" s="421"/>
      <c r="M26" s="420"/>
      <c r="N26" s="422"/>
      <c r="O26" s="423"/>
      <c r="P26" s="423"/>
      <c r="Q26" s="423"/>
      <c r="R26" s="423"/>
      <c r="S26" s="423"/>
      <c r="T26" s="423"/>
      <c r="U26" s="423"/>
      <c r="V26" s="424"/>
      <c r="AA26" s="421"/>
    </row>
    <row r="27" spans="1:27">
      <c r="A27" s="420"/>
      <c r="B27" s="112"/>
      <c r="C27" s="125"/>
      <c r="D27" s="125"/>
      <c r="E27" s="125"/>
      <c r="F27" s="113"/>
      <c r="K27" s="421"/>
      <c r="M27" s="420"/>
      <c r="AA27" s="421"/>
    </row>
    <row r="28" spans="1:27" ht="13.5" thickBot="1">
      <c r="A28" s="420"/>
      <c r="B28" s="112"/>
      <c r="C28" s="125"/>
      <c r="D28" s="125"/>
      <c r="E28" s="125"/>
      <c r="F28" s="113"/>
      <c r="K28" s="421"/>
      <c r="M28" s="422"/>
      <c r="N28" s="423"/>
      <c r="O28" s="423"/>
      <c r="P28" s="423"/>
      <c r="Q28" s="423"/>
      <c r="R28" s="423"/>
      <c r="S28" s="423"/>
      <c r="T28" s="423"/>
      <c r="U28" s="423"/>
      <c r="V28" s="423"/>
      <c r="W28" s="423"/>
      <c r="X28" s="423"/>
      <c r="Y28" s="423"/>
      <c r="Z28" s="423"/>
      <c r="AA28" s="424"/>
    </row>
    <row r="29" spans="1:27">
      <c r="A29" s="420"/>
      <c r="B29" s="112"/>
      <c r="C29" s="125"/>
      <c r="D29" s="125"/>
      <c r="E29" s="125"/>
      <c r="F29" s="113"/>
      <c r="K29" s="421"/>
    </row>
    <row r="30" spans="1:27">
      <c r="A30" s="420"/>
      <c r="B30" s="112"/>
      <c r="C30" s="125"/>
      <c r="D30" s="125"/>
      <c r="E30" s="125"/>
      <c r="F30" s="113"/>
      <c r="K30" s="421"/>
    </row>
    <row r="31" spans="1:27">
      <c r="A31" s="420"/>
      <c r="B31" s="112"/>
      <c r="C31" s="125"/>
      <c r="D31" s="125"/>
      <c r="E31" s="125"/>
      <c r="F31" s="113"/>
      <c r="K31" s="421"/>
    </row>
    <row r="32" spans="1:27">
      <c r="A32" s="420"/>
      <c r="B32" s="112"/>
      <c r="C32" s="125"/>
      <c r="D32" s="125"/>
      <c r="E32" s="125"/>
      <c r="F32" s="113"/>
      <c r="K32" s="421"/>
      <c r="N32" s="987"/>
    </row>
    <row r="33" spans="1:17">
      <c r="A33" s="420"/>
      <c r="B33" s="112"/>
      <c r="C33" s="125"/>
      <c r="D33" s="125"/>
      <c r="E33" s="125"/>
      <c r="F33" s="113"/>
      <c r="K33" s="421"/>
    </row>
    <row r="34" spans="1:17">
      <c r="A34" s="420"/>
      <c r="B34" s="112"/>
      <c r="C34" s="125"/>
      <c r="D34" s="125"/>
      <c r="E34" s="125"/>
      <c r="F34" s="113"/>
      <c r="K34" s="421"/>
    </row>
    <row r="35" spans="1:17" ht="9" customHeight="1" thickBot="1">
      <c r="A35" s="420"/>
      <c r="B35" s="114"/>
      <c r="C35" s="115"/>
      <c r="D35" s="115"/>
      <c r="E35" s="115"/>
      <c r="F35" s="116"/>
      <c r="K35" s="421"/>
    </row>
    <row r="36" spans="1:17" ht="13.5" thickBot="1">
      <c r="A36" s="422"/>
      <c r="B36" s="423"/>
      <c r="C36" s="423"/>
      <c r="D36" s="423"/>
      <c r="E36" s="423"/>
      <c r="F36" s="423"/>
      <c r="G36" s="423"/>
      <c r="H36" s="423"/>
      <c r="I36" s="423"/>
      <c r="J36" s="423"/>
      <c r="K36" s="424"/>
      <c r="O36" s="695">
        <v>1000</v>
      </c>
    </row>
    <row r="38" spans="1:17">
      <c r="C38" s="117" t="s">
        <v>202</v>
      </c>
    </row>
    <row r="39" spans="1:17">
      <c r="D39" s="117" t="s">
        <v>2020</v>
      </c>
      <c r="E39" s="123" t="s">
        <v>2232</v>
      </c>
      <c r="F39" s="117" t="s">
        <v>2019</v>
      </c>
      <c r="O39" s="117" t="s">
        <v>2020</v>
      </c>
      <c r="P39" s="123" t="s">
        <v>2232</v>
      </c>
      <c r="Q39" s="117" t="s">
        <v>2019</v>
      </c>
    </row>
    <row r="40" spans="1:17">
      <c r="C40" s="126" t="s">
        <v>263</v>
      </c>
      <c r="D40" s="128">
        <f>D41/D42</f>
        <v>1.2175515094879299</v>
      </c>
      <c r="E40" s="121">
        <f>E41/E42</f>
        <v>2.0799043808806692</v>
      </c>
      <c r="F40" s="121">
        <f>F41/F42</f>
        <v>2.3635498269290527</v>
      </c>
      <c r="N40" s="108" t="s">
        <v>2233</v>
      </c>
      <c r="O40" s="695">
        <v>3102.9757010298595</v>
      </c>
      <c r="P40" s="695">
        <v>5301.9387632402349</v>
      </c>
      <c r="Q40" s="695">
        <v>5369.0241025718469</v>
      </c>
    </row>
    <row r="41" spans="1:17">
      <c r="C41" s="126" t="s">
        <v>262</v>
      </c>
      <c r="D41" s="127">
        <f>'Nour Net debt'!Q27</f>
        <v>3102975.7010298595</v>
      </c>
      <c r="E41" s="127">
        <v>5301938.7632402349</v>
      </c>
      <c r="F41" s="127">
        <f>'Nour Net debt'!L27</f>
        <v>5369024.1025718469</v>
      </c>
      <c r="G41" s="508">
        <f>+F41-E41</f>
        <v>67085.339331611991</v>
      </c>
      <c r="H41" s="151">
        <f>-G41/-G42</f>
        <v>-0.24172036317086246</v>
      </c>
    </row>
    <row r="42" spans="1:17">
      <c r="C42" s="126" t="s">
        <v>437</v>
      </c>
      <c r="D42" s="127">
        <f>D46/D47</f>
        <v>2548537.5171805993</v>
      </c>
      <c r="E42" s="127">
        <f>1911844.6544867*1.33333333333333</f>
        <v>2549126.2059822665</v>
      </c>
      <c r="F42" s="127">
        <f>E46/E47</f>
        <v>2271593.3641000455</v>
      </c>
      <c r="G42" s="508">
        <f>+F42-E42</f>
        <v>-277532.84188222094</v>
      </c>
    </row>
    <row r="43" spans="1:17">
      <c r="C43" s="126"/>
      <c r="D43" s="127"/>
      <c r="E43" s="127"/>
    </row>
    <row r="44" spans="1:17">
      <c r="C44" s="126"/>
      <c r="E44" s="127"/>
      <c r="I44" s="513"/>
      <c r="J44" s="128"/>
    </row>
    <row r="45" spans="1:17">
      <c r="I45" s="513"/>
      <c r="J45" s="514"/>
    </row>
    <row r="46" spans="1:17">
      <c r="C46" s="126" t="s">
        <v>2021</v>
      </c>
      <c r="D46" s="127">
        <f>+'YTD Q1''23 Cons. vs Q1''22'!L18</f>
        <v>8400999.0716341287</v>
      </c>
      <c r="E46" s="513">
        <f>+'YTD Q1''23 Cons. vs Q1''22'!I18</f>
        <v>7407893.1196666583</v>
      </c>
    </row>
    <row r="47" spans="1:17">
      <c r="C47" s="108" t="s">
        <v>436</v>
      </c>
      <c r="D47" s="108">
        <v>3.2964000000000002</v>
      </c>
      <c r="E47" s="108">
        <v>3.2610999999999999</v>
      </c>
    </row>
  </sheetData>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01A527-4D88-4390-8F86-B6D628B21B9B}">
  <sheetPr codeName="Sheet20"/>
  <dimension ref="A1:V117"/>
  <sheetViews>
    <sheetView topLeftCell="B56" zoomScale="80" zoomScaleNormal="80" workbookViewId="0">
      <selection activeCell="C47" sqref="C47"/>
    </sheetView>
  </sheetViews>
  <sheetFormatPr baseColWidth="10" defaultColWidth="8.875" defaultRowHeight="11.25"/>
  <cols>
    <col min="1" max="1" width="10.375" style="804" bestFit="1" customWidth="1"/>
    <col min="2" max="2" width="11.75" style="804" bestFit="1" customWidth="1"/>
    <col min="3" max="3" width="32.375" style="804" bestFit="1" customWidth="1"/>
    <col min="4" max="4" width="12.375" style="804" bestFit="1" customWidth="1"/>
    <col min="5" max="5" width="10.75" style="804" bestFit="1" customWidth="1"/>
    <col min="6" max="6" width="13" style="804" bestFit="1" customWidth="1"/>
    <col min="7" max="7" width="10.75" style="804" bestFit="1" customWidth="1"/>
    <col min="8" max="8" width="11.5" style="804" bestFit="1" customWidth="1"/>
    <col min="9" max="9" width="26.625" style="804" customWidth="1"/>
    <col min="10" max="10" width="43.75" style="804" bestFit="1" customWidth="1"/>
    <col min="11" max="11" width="13" style="804" bestFit="1" customWidth="1"/>
    <col min="12" max="12" width="15.5" style="804" bestFit="1" customWidth="1"/>
    <col min="13" max="13" width="16.625" style="804" bestFit="1" customWidth="1"/>
    <col min="14" max="14" width="18" style="804" bestFit="1" customWidth="1"/>
    <col min="15" max="15" width="20.5" style="804" customWidth="1"/>
    <col min="16" max="17" width="10.625" style="804" bestFit="1" customWidth="1"/>
    <col min="18" max="18" width="10.375" style="804" bestFit="1" customWidth="1"/>
    <col min="19" max="19" width="9.625" style="804" bestFit="1" customWidth="1"/>
    <col min="20" max="20" width="8.875" style="804"/>
    <col min="21" max="21" width="9.25" style="804" bestFit="1" customWidth="1"/>
    <col min="22" max="16384" width="8.875" style="804"/>
  </cols>
  <sheetData>
    <row r="1" spans="1:19" s="184" customFormat="1" ht="31.5">
      <c r="A1" s="1285">
        <v>44805</v>
      </c>
      <c r="B1" s="179" t="s">
        <v>374</v>
      </c>
      <c r="C1" s="180" t="s">
        <v>375</v>
      </c>
      <c r="D1" s="181" t="s">
        <v>169</v>
      </c>
      <c r="E1" s="181" t="s">
        <v>244</v>
      </c>
      <c r="F1" s="181" t="s">
        <v>170</v>
      </c>
      <c r="G1" s="181" t="s">
        <v>243</v>
      </c>
      <c r="H1" s="181" t="s">
        <v>171</v>
      </c>
      <c r="I1" s="181" t="s">
        <v>376</v>
      </c>
      <c r="J1" s="181" t="s">
        <v>377</v>
      </c>
      <c r="K1" s="181" t="s">
        <v>378</v>
      </c>
      <c r="L1" s="181" t="s">
        <v>379</v>
      </c>
      <c r="M1" s="182" t="s">
        <v>380</v>
      </c>
      <c r="N1" s="183" t="s">
        <v>381</v>
      </c>
      <c r="P1" s="201" t="s">
        <v>421</v>
      </c>
      <c r="Q1" s="201" t="s">
        <v>419</v>
      </c>
      <c r="R1" s="201" t="s">
        <v>422</v>
      </c>
      <c r="S1" s="184" t="s">
        <v>420</v>
      </c>
    </row>
    <row r="2" spans="1:19" s="184" customFormat="1">
      <c r="A2" s="1286"/>
      <c r="B2" s="185">
        <v>311000000</v>
      </c>
      <c r="C2" s="186" t="s">
        <v>382</v>
      </c>
      <c r="D2" s="187">
        <v>9250837.4030000009</v>
      </c>
      <c r="E2" s="187">
        <v>0</v>
      </c>
      <c r="F2" s="187">
        <v>0</v>
      </c>
      <c r="G2" s="187">
        <v>0</v>
      </c>
      <c r="H2" s="187">
        <v>0</v>
      </c>
      <c r="I2" s="187">
        <v>9250837.4030000009</v>
      </c>
      <c r="J2" s="187" t="s">
        <v>383</v>
      </c>
      <c r="K2" s="187">
        <v>0</v>
      </c>
      <c r="L2" s="187">
        <v>0</v>
      </c>
      <c r="M2" s="187">
        <v>9250837.4030000009</v>
      </c>
      <c r="N2" s="188" t="s">
        <v>384</v>
      </c>
      <c r="O2" s="193" t="s">
        <v>172</v>
      </c>
      <c r="P2" s="193">
        <f>SUM(D2:E2)</f>
        <v>9250837.4030000009</v>
      </c>
      <c r="Q2" s="193">
        <f>F2</f>
        <v>0</v>
      </c>
      <c r="R2" s="193">
        <f>SUM(G2:H2)</f>
        <v>0</v>
      </c>
      <c r="S2" s="193">
        <f>SUM(P2:R2)-M2</f>
        <v>0</v>
      </c>
    </row>
    <row r="3" spans="1:19" s="184" customFormat="1">
      <c r="A3" s="1286"/>
      <c r="B3" s="185">
        <v>321000000</v>
      </c>
      <c r="C3" s="186" t="s">
        <v>385</v>
      </c>
      <c r="D3" s="187">
        <v>0</v>
      </c>
      <c r="E3" s="187">
        <v>0</v>
      </c>
      <c r="F3" s="187">
        <v>0</v>
      </c>
      <c r="G3" s="187">
        <v>75751.298999999999</v>
      </c>
      <c r="H3" s="187">
        <v>0</v>
      </c>
      <c r="I3" s="187">
        <v>75751.298999999999</v>
      </c>
      <c r="J3" s="187" t="s">
        <v>383</v>
      </c>
      <c r="K3" s="187">
        <v>0</v>
      </c>
      <c r="L3" s="187">
        <v>0</v>
      </c>
      <c r="M3" s="187">
        <v>75751.298999999999</v>
      </c>
      <c r="N3" s="189" t="s">
        <v>384</v>
      </c>
      <c r="O3" s="193" t="s">
        <v>172</v>
      </c>
      <c r="P3" s="193">
        <f>G3</f>
        <v>75751.298999999999</v>
      </c>
      <c r="Q3" s="193">
        <f t="shared" ref="Q3:Q23" si="0">F3</f>
        <v>0</v>
      </c>
      <c r="R3" s="193">
        <v>0</v>
      </c>
      <c r="S3" s="193">
        <f t="shared" ref="S3:S23" si="1">SUM(P3:R3)-M3</f>
        <v>0</v>
      </c>
    </row>
    <row r="4" spans="1:19" s="184" customFormat="1">
      <c r="A4" s="1286"/>
      <c r="B4" s="185">
        <v>322000000</v>
      </c>
      <c r="C4" s="186" t="s">
        <v>386</v>
      </c>
      <c r="D4" s="187">
        <v>789345.29200000002</v>
      </c>
      <c r="E4" s="187">
        <v>0</v>
      </c>
      <c r="F4" s="187">
        <v>0</v>
      </c>
      <c r="G4" s="187">
        <v>0</v>
      </c>
      <c r="H4" s="187">
        <v>0</v>
      </c>
      <c r="I4" s="187">
        <v>789345.29200000002</v>
      </c>
      <c r="J4" s="187" t="s">
        <v>383</v>
      </c>
      <c r="K4" s="187">
        <v>0</v>
      </c>
      <c r="L4" s="187">
        <v>0</v>
      </c>
      <c r="M4" s="187">
        <v>789345.29200000002</v>
      </c>
      <c r="N4" s="189" t="s">
        <v>388</v>
      </c>
      <c r="O4" s="193" t="s">
        <v>172</v>
      </c>
      <c r="P4" s="193">
        <f t="shared" ref="P4:P23" si="2">SUM(D4:E4)</f>
        <v>789345.29200000002</v>
      </c>
      <c r="Q4" s="193">
        <f t="shared" si="0"/>
        <v>0</v>
      </c>
      <c r="R4" s="193">
        <f t="shared" ref="R4:R23" si="3">SUM(G4:H4)</f>
        <v>0</v>
      </c>
      <c r="S4" s="193">
        <f t="shared" si="1"/>
        <v>0</v>
      </c>
    </row>
    <row r="5" spans="1:19" s="184" customFormat="1">
      <c r="A5" s="1286"/>
      <c r="B5" s="185">
        <v>331000000</v>
      </c>
      <c r="C5" s="186" t="s">
        <v>387</v>
      </c>
      <c r="D5" s="187">
        <v>1529907.973</v>
      </c>
      <c r="E5" s="187">
        <v>0</v>
      </c>
      <c r="F5" s="187">
        <v>0</v>
      </c>
      <c r="G5" s="187">
        <v>0</v>
      </c>
      <c r="H5" s="187">
        <v>0</v>
      </c>
      <c r="I5" s="187">
        <v>1529907.973</v>
      </c>
      <c r="J5" s="187" t="s">
        <v>383</v>
      </c>
      <c r="K5" s="187">
        <v>0</v>
      </c>
      <c r="L5" s="187">
        <v>0</v>
      </c>
      <c r="M5" s="187">
        <v>1529907.973</v>
      </c>
      <c r="N5" s="189" t="s">
        <v>388</v>
      </c>
      <c r="O5" s="193" t="s">
        <v>172</v>
      </c>
      <c r="P5" s="193">
        <f t="shared" si="2"/>
        <v>1529907.973</v>
      </c>
      <c r="Q5" s="193">
        <f t="shared" si="0"/>
        <v>0</v>
      </c>
      <c r="R5" s="193">
        <f t="shared" si="3"/>
        <v>0</v>
      </c>
      <c r="S5" s="193">
        <f t="shared" si="1"/>
        <v>0</v>
      </c>
    </row>
    <row r="6" spans="1:19" s="184" customFormat="1">
      <c r="A6" s="1286"/>
      <c r="B6" s="185">
        <v>355000000</v>
      </c>
      <c r="C6" s="186" t="s">
        <v>389</v>
      </c>
      <c r="D6" s="187">
        <v>3820711.844</v>
      </c>
      <c r="E6" s="187">
        <v>0</v>
      </c>
      <c r="F6" s="187">
        <v>0</v>
      </c>
      <c r="G6" s="187">
        <v>0</v>
      </c>
      <c r="H6" s="187">
        <v>0</v>
      </c>
      <c r="I6" s="187">
        <v>3820711.844</v>
      </c>
      <c r="J6" s="187" t="s">
        <v>383</v>
      </c>
      <c r="K6" s="187">
        <v>0</v>
      </c>
      <c r="L6" s="187">
        <v>0</v>
      </c>
      <c r="M6" s="187">
        <v>3820711.844</v>
      </c>
      <c r="N6" s="189" t="s">
        <v>396</v>
      </c>
      <c r="O6" s="193" t="s">
        <v>172</v>
      </c>
      <c r="P6" s="193">
        <f t="shared" si="2"/>
        <v>3820711.844</v>
      </c>
      <c r="Q6" s="193">
        <f t="shared" si="0"/>
        <v>0</v>
      </c>
      <c r="R6" s="193">
        <f t="shared" si="3"/>
        <v>0</v>
      </c>
      <c r="S6" s="193">
        <f t="shared" si="1"/>
        <v>0</v>
      </c>
    </row>
    <row r="7" spans="1:19" s="184" customFormat="1">
      <c r="A7" s="1286"/>
      <c r="B7" s="185">
        <v>370000000</v>
      </c>
      <c r="C7" s="186" t="s">
        <v>390</v>
      </c>
      <c r="D7" s="187">
        <v>0</v>
      </c>
      <c r="E7" s="187">
        <v>0</v>
      </c>
      <c r="F7" s="187">
        <v>2493058.9890000001</v>
      </c>
      <c r="G7" s="187">
        <v>0</v>
      </c>
      <c r="H7" s="187">
        <v>0</v>
      </c>
      <c r="I7" s="187">
        <v>2493058.9890000001</v>
      </c>
      <c r="J7" s="187" t="s">
        <v>383</v>
      </c>
      <c r="K7" s="187">
        <v>440594.46550000005</v>
      </c>
      <c r="L7" s="187">
        <v>856104.29700000014</v>
      </c>
      <c r="M7" s="187">
        <v>2077549.1574999997</v>
      </c>
      <c r="N7" s="188" t="s">
        <v>396</v>
      </c>
      <c r="O7" s="193" t="s">
        <v>172</v>
      </c>
      <c r="P7" s="193">
        <f t="shared" si="2"/>
        <v>0</v>
      </c>
      <c r="Q7" s="193">
        <f>M7</f>
        <v>2077549.1574999997</v>
      </c>
      <c r="R7" s="193">
        <f t="shared" si="3"/>
        <v>0</v>
      </c>
      <c r="S7" s="193">
        <f t="shared" si="1"/>
        <v>0</v>
      </c>
    </row>
    <row r="8" spans="1:19" s="184" customFormat="1">
      <c r="A8" s="1286"/>
      <c r="B8" s="185">
        <v>390000000</v>
      </c>
      <c r="C8" s="186" t="s">
        <v>391</v>
      </c>
      <c r="D8" s="187">
        <v>-60168.118999999999</v>
      </c>
      <c r="E8" s="187">
        <v>0</v>
      </c>
      <c r="F8" s="187">
        <v>0</v>
      </c>
      <c r="G8" s="187">
        <v>0</v>
      </c>
      <c r="H8" s="187">
        <v>0</v>
      </c>
      <c r="I8" s="187">
        <v>-60168.118999999999</v>
      </c>
      <c r="J8" s="187" t="s">
        <v>392</v>
      </c>
      <c r="K8" s="187">
        <v>0</v>
      </c>
      <c r="L8" s="187">
        <v>0</v>
      </c>
      <c r="M8" s="187">
        <v>-60168.118999999999</v>
      </c>
      <c r="N8" s="188" t="s">
        <v>384</v>
      </c>
      <c r="O8" s="193" t="s">
        <v>172</v>
      </c>
      <c r="P8" s="193">
        <f t="shared" si="2"/>
        <v>-60168.118999999999</v>
      </c>
      <c r="Q8" s="193">
        <f t="shared" si="0"/>
        <v>0</v>
      </c>
      <c r="R8" s="193">
        <f t="shared" si="3"/>
        <v>0</v>
      </c>
      <c r="S8" s="193">
        <f t="shared" si="1"/>
        <v>0</v>
      </c>
    </row>
    <row r="9" spans="1:19" s="184" customFormat="1">
      <c r="A9" s="1286"/>
      <c r="B9" s="185">
        <v>401000000</v>
      </c>
      <c r="C9" s="186" t="s">
        <v>393</v>
      </c>
      <c r="D9" s="187">
        <v>-1690326.8130000001</v>
      </c>
      <c r="E9" s="187">
        <v>-435371.74300000002</v>
      </c>
      <c r="F9" s="187">
        <v>-12053795.479</v>
      </c>
      <c r="G9" s="187">
        <v>-247161.34299999999</v>
      </c>
      <c r="H9" s="187">
        <v>1695579.7850000001</v>
      </c>
      <c r="I9" s="187">
        <v>-12731075.593</v>
      </c>
      <c r="J9" s="187" t="s">
        <v>394</v>
      </c>
      <c r="K9" s="187">
        <v>12651900.687000001</v>
      </c>
      <c r="L9" s="187">
        <v>0</v>
      </c>
      <c r="M9" s="187">
        <v>-79174.906000001356</v>
      </c>
      <c r="N9" s="189" t="s">
        <v>397</v>
      </c>
      <c r="O9" s="193" t="s">
        <v>164</v>
      </c>
      <c r="P9" s="193">
        <f>M9</f>
        <v>-79174.906000001356</v>
      </c>
      <c r="Q9" s="193">
        <v>0</v>
      </c>
      <c r="R9" s="193">
        <v>0</v>
      </c>
      <c r="S9" s="193">
        <f t="shared" si="1"/>
        <v>0</v>
      </c>
    </row>
    <row r="10" spans="1:19" s="184" customFormat="1">
      <c r="A10" s="1286"/>
      <c r="B10" s="185">
        <v>403000000</v>
      </c>
      <c r="C10" s="186" t="s">
        <v>395</v>
      </c>
      <c r="D10" s="187">
        <v>-285367.50199999998</v>
      </c>
      <c r="E10" s="187">
        <v>0</v>
      </c>
      <c r="F10" s="187">
        <v>-328000</v>
      </c>
      <c r="G10" s="187">
        <v>0</v>
      </c>
      <c r="H10" s="187">
        <v>0</v>
      </c>
      <c r="I10" s="187">
        <v>-613367.50199999998</v>
      </c>
      <c r="J10" s="187" t="s">
        <v>394</v>
      </c>
      <c r="K10" s="187">
        <v>0</v>
      </c>
      <c r="L10" s="187">
        <v>0</v>
      </c>
      <c r="M10" s="187">
        <v>-613367.50199999998</v>
      </c>
      <c r="N10" s="189" t="s">
        <v>397</v>
      </c>
      <c r="O10" s="193" t="s">
        <v>164</v>
      </c>
      <c r="P10" s="193">
        <f t="shared" si="2"/>
        <v>-285367.50199999998</v>
      </c>
      <c r="Q10" s="193">
        <f t="shared" si="0"/>
        <v>-328000</v>
      </c>
      <c r="R10" s="193">
        <f t="shared" si="3"/>
        <v>0</v>
      </c>
      <c r="S10" s="193">
        <f t="shared" si="1"/>
        <v>0</v>
      </c>
    </row>
    <row r="11" spans="1:19" s="184" customFormat="1">
      <c r="A11" s="1286"/>
      <c r="B11" s="185">
        <v>404700000</v>
      </c>
      <c r="C11" s="186" t="s">
        <v>398</v>
      </c>
      <c r="D11" s="187"/>
      <c r="E11" s="187"/>
      <c r="F11" s="187"/>
      <c r="G11" s="187"/>
      <c r="H11" s="187"/>
      <c r="I11" s="187">
        <v>0</v>
      </c>
      <c r="J11" s="187"/>
      <c r="K11" s="187">
        <v>-475537</v>
      </c>
      <c r="L11" s="187">
        <v>0</v>
      </c>
      <c r="M11" s="187">
        <v>-475537</v>
      </c>
      <c r="N11" s="189" t="s">
        <v>397</v>
      </c>
      <c r="O11" s="193" t="s">
        <v>164</v>
      </c>
      <c r="P11" s="193">
        <f>M11</f>
        <v>-475537</v>
      </c>
      <c r="Q11" s="193">
        <f t="shared" si="0"/>
        <v>0</v>
      </c>
      <c r="R11" s="193">
        <f t="shared" si="3"/>
        <v>0</v>
      </c>
      <c r="S11" s="193">
        <f t="shared" si="1"/>
        <v>0</v>
      </c>
    </row>
    <row r="12" spans="1:19" s="184" customFormat="1">
      <c r="A12" s="1286"/>
      <c r="B12" s="185">
        <v>406000000</v>
      </c>
      <c r="C12" s="186" t="s">
        <v>399</v>
      </c>
      <c r="D12" s="187">
        <v>-1898733.9469999999</v>
      </c>
      <c r="E12" s="187">
        <v>0</v>
      </c>
      <c r="F12" s="187">
        <v>0</v>
      </c>
      <c r="G12" s="187">
        <v>0</v>
      </c>
      <c r="H12" s="187">
        <v>0</v>
      </c>
      <c r="I12" s="187">
        <v>-1898733.9469999999</v>
      </c>
      <c r="J12" s="187" t="s">
        <v>394</v>
      </c>
      <c r="K12" s="187">
        <v>0</v>
      </c>
      <c r="L12" s="187">
        <v>0</v>
      </c>
      <c r="M12" s="187">
        <v>-1898733.9469999999</v>
      </c>
      <c r="N12" s="189" t="s">
        <v>397</v>
      </c>
      <c r="O12" s="193" t="s">
        <v>164</v>
      </c>
      <c r="P12" s="193">
        <f t="shared" si="2"/>
        <v>-1898733.9469999999</v>
      </c>
      <c r="Q12" s="193">
        <f t="shared" si="0"/>
        <v>0</v>
      </c>
      <c r="R12" s="193">
        <f t="shared" si="3"/>
        <v>0</v>
      </c>
      <c r="S12" s="193">
        <f t="shared" si="1"/>
        <v>0</v>
      </c>
    </row>
    <row r="13" spans="1:19" s="184" customFormat="1">
      <c r="A13" s="1286"/>
      <c r="B13" s="185">
        <v>408000000</v>
      </c>
      <c r="C13" s="186" t="s">
        <v>400</v>
      </c>
      <c r="D13" s="187">
        <v>-4980</v>
      </c>
      <c r="E13" s="187">
        <v>0</v>
      </c>
      <c r="F13" s="187">
        <v>0</v>
      </c>
      <c r="G13" s="187">
        <v>0</v>
      </c>
      <c r="H13" s="187">
        <v>0</v>
      </c>
      <c r="I13" s="187">
        <v>-4980</v>
      </c>
      <c r="J13" s="187" t="s">
        <v>394</v>
      </c>
      <c r="K13" s="187">
        <v>0</v>
      </c>
      <c r="L13" s="187">
        <v>0</v>
      </c>
      <c r="M13" s="187">
        <v>-4980</v>
      </c>
      <c r="N13" s="189" t="s">
        <v>397</v>
      </c>
      <c r="O13" s="193" t="s">
        <v>164</v>
      </c>
      <c r="P13" s="193">
        <f t="shared" si="2"/>
        <v>-4980</v>
      </c>
      <c r="Q13" s="193">
        <f t="shared" si="0"/>
        <v>0</v>
      </c>
      <c r="R13" s="193">
        <f t="shared" si="3"/>
        <v>0</v>
      </c>
      <c r="S13" s="193">
        <f t="shared" si="1"/>
        <v>0</v>
      </c>
    </row>
    <row r="14" spans="1:19" s="184" customFormat="1">
      <c r="A14" s="1286"/>
      <c r="B14" s="185">
        <v>411000000</v>
      </c>
      <c r="C14" s="186" t="s">
        <v>401</v>
      </c>
      <c r="D14" s="187">
        <v>12487252.572000001</v>
      </c>
      <c r="E14" s="187">
        <v>377965.65499999997</v>
      </c>
      <c r="F14" s="187">
        <v>6988038.1830000002</v>
      </c>
      <c r="G14" s="190">
        <v>-15529.505000000005</v>
      </c>
      <c r="H14" s="187">
        <v>0</v>
      </c>
      <c r="I14" s="187">
        <v>19837726.905000001</v>
      </c>
      <c r="J14" s="187" t="s">
        <v>402</v>
      </c>
      <c r="K14" s="187">
        <v>3393470.1570000001</v>
      </c>
      <c r="L14" s="187">
        <v>12701900.384999987</v>
      </c>
      <c r="M14" s="187">
        <v>10529296.677000016</v>
      </c>
      <c r="N14" s="189" t="s">
        <v>403</v>
      </c>
      <c r="O14" s="193" t="s">
        <v>162</v>
      </c>
      <c r="P14" s="193">
        <v>0</v>
      </c>
      <c r="Q14" s="193">
        <f>M14</f>
        <v>10529296.677000016</v>
      </c>
      <c r="R14" s="193">
        <v>0</v>
      </c>
      <c r="S14" s="193">
        <f t="shared" si="1"/>
        <v>0</v>
      </c>
    </row>
    <row r="15" spans="1:19" s="184" customFormat="1">
      <c r="A15" s="1286"/>
      <c r="B15" s="185">
        <v>413010000</v>
      </c>
      <c r="C15" s="186" t="s">
        <v>404</v>
      </c>
      <c r="D15" s="187">
        <v>0</v>
      </c>
      <c r="E15" s="187">
        <v>0</v>
      </c>
      <c r="F15" s="187">
        <v>384105.70400000003</v>
      </c>
      <c r="G15" s="187">
        <v>0</v>
      </c>
      <c r="H15" s="187">
        <v>0</v>
      </c>
      <c r="I15" s="187">
        <v>384105.70400000003</v>
      </c>
      <c r="J15" s="187" t="s">
        <v>402</v>
      </c>
      <c r="K15" s="187">
        <v>0</v>
      </c>
      <c r="L15" s="187">
        <v>0</v>
      </c>
      <c r="M15" s="187">
        <v>384105.70400000003</v>
      </c>
      <c r="N15" s="189" t="s">
        <v>403</v>
      </c>
      <c r="O15" s="193" t="s">
        <v>162</v>
      </c>
      <c r="P15" s="193">
        <f t="shared" si="2"/>
        <v>0</v>
      </c>
      <c r="Q15" s="193">
        <f t="shared" si="0"/>
        <v>384105.70400000003</v>
      </c>
      <c r="R15" s="193">
        <f t="shared" si="3"/>
        <v>0</v>
      </c>
      <c r="S15" s="193">
        <f t="shared" si="1"/>
        <v>0</v>
      </c>
    </row>
    <row r="16" spans="1:19" s="184" customFormat="1">
      <c r="A16" s="1286"/>
      <c r="B16" s="185">
        <v>415000000</v>
      </c>
      <c r="C16" s="186" t="s">
        <v>405</v>
      </c>
      <c r="D16" s="187">
        <v>3764066.7749999999</v>
      </c>
      <c r="E16" s="187">
        <v>0</v>
      </c>
      <c r="F16" s="187">
        <v>0</v>
      </c>
      <c r="G16" s="187">
        <v>0</v>
      </c>
      <c r="H16" s="187">
        <v>0</v>
      </c>
      <c r="I16" s="187">
        <v>3764066.7749999999</v>
      </c>
      <c r="J16" s="187" t="s">
        <v>402</v>
      </c>
      <c r="K16" s="187">
        <v>0</v>
      </c>
      <c r="L16" s="187">
        <v>704000</v>
      </c>
      <c r="M16" s="187">
        <v>3060066.7749999999</v>
      </c>
      <c r="N16" s="189" t="s">
        <v>403</v>
      </c>
      <c r="O16" s="193" t="s">
        <v>162</v>
      </c>
      <c r="P16" s="193">
        <f>M16</f>
        <v>3060066.7749999999</v>
      </c>
      <c r="Q16" s="193">
        <f t="shared" si="0"/>
        <v>0</v>
      </c>
      <c r="R16" s="193">
        <f t="shared" si="3"/>
        <v>0</v>
      </c>
      <c r="S16" s="193">
        <f t="shared" si="1"/>
        <v>0</v>
      </c>
    </row>
    <row r="17" spans="1:19" s="184" customFormat="1">
      <c r="A17" s="1286"/>
      <c r="B17" s="185">
        <v>416000000</v>
      </c>
      <c r="C17" s="186" t="s">
        <v>406</v>
      </c>
      <c r="D17" s="187">
        <v>0</v>
      </c>
      <c r="E17" s="187">
        <v>0</v>
      </c>
      <c r="F17" s="187">
        <v>338176.68400000001</v>
      </c>
      <c r="G17" s="187">
        <v>0</v>
      </c>
      <c r="H17" s="187">
        <v>0</v>
      </c>
      <c r="I17" s="187">
        <v>338176.68400000001</v>
      </c>
      <c r="J17" s="187" t="s">
        <v>402</v>
      </c>
      <c r="K17" s="187">
        <v>0</v>
      </c>
      <c r="L17" s="187">
        <v>0</v>
      </c>
      <c r="M17" s="187">
        <v>338176.68400000001</v>
      </c>
      <c r="N17" s="189" t="s">
        <v>403</v>
      </c>
      <c r="O17" s="193" t="s">
        <v>162</v>
      </c>
      <c r="P17" s="193">
        <f t="shared" si="2"/>
        <v>0</v>
      </c>
      <c r="Q17" s="193">
        <f t="shared" si="0"/>
        <v>338176.68400000001</v>
      </c>
      <c r="R17" s="193">
        <f t="shared" si="3"/>
        <v>0</v>
      </c>
      <c r="S17" s="193">
        <f t="shared" si="1"/>
        <v>0</v>
      </c>
    </row>
    <row r="18" spans="1:19" s="184" customFormat="1">
      <c r="A18" s="1286"/>
      <c r="B18" s="185">
        <v>416010000</v>
      </c>
      <c r="C18" s="186" t="s">
        <v>407</v>
      </c>
      <c r="D18" s="187">
        <v>0</v>
      </c>
      <c r="E18" s="187">
        <v>0</v>
      </c>
      <c r="F18" s="187">
        <v>29878.600999999999</v>
      </c>
      <c r="G18" s="187">
        <v>0</v>
      </c>
      <c r="H18" s="187">
        <v>0</v>
      </c>
      <c r="I18" s="187">
        <v>29878.600999999999</v>
      </c>
      <c r="J18" s="187" t="s">
        <v>402</v>
      </c>
      <c r="K18" s="187">
        <v>0</v>
      </c>
      <c r="L18" s="187">
        <v>0</v>
      </c>
      <c r="M18" s="187">
        <v>29878.600999999999</v>
      </c>
      <c r="N18" s="189" t="s">
        <v>403</v>
      </c>
      <c r="O18" s="193" t="s">
        <v>162</v>
      </c>
      <c r="P18" s="193">
        <f t="shared" si="2"/>
        <v>0</v>
      </c>
      <c r="Q18" s="193">
        <f t="shared" si="0"/>
        <v>29878.600999999999</v>
      </c>
      <c r="R18" s="193">
        <f t="shared" si="3"/>
        <v>0</v>
      </c>
      <c r="S18" s="193">
        <f t="shared" si="1"/>
        <v>0</v>
      </c>
    </row>
    <row r="19" spans="1:19" s="184" customFormat="1">
      <c r="A19" s="1286"/>
      <c r="B19" s="185">
        <v>490000000</v>
      </c>
      <c r="C19" s="186" t="s">
        <v>408</v>
      </c>
      <c r="D19" s="187">
        <v>0</v>
      </c>
      <c r="E19" s="187">
        <v>0</v>
      </c>
      <c r="F19" s="187">
        <v>-7169.9709999999995</v>
      </c>
      <c r="G19" s="187">
        <v>0</v>
      </c>
      <c r="H19" s="187">
        <v>0</v>
      </c>
      <c r="I19" s="187">
        <v>-7169.9709999999995</v>
      </c>
      <c r="J19" s="187" t="s">
        <v>409</v>
      </c>
      <c r="K19" s="187">
        <v>0</v>
      </c>
      <c r="L19" s="187">
        <v>0</v>
      </c>
      <c r="M19" s="187">
        <v>-7169.9709999999995</v>
      </c>
      <c r="N19" s="189" t="s">
        <v>403</v>
      </c>
      <c r="O19" s="193" t="s">
        <v>162</v>
      </c>
      <c r="P19" s="193">
        <f t="shared" si="2"/>
        <v>0</v>
      </c>
      <c r="Q19" s="193">
        <f t="shared" si="0"/>
        <v>-7169.9709999999995</v>
      </c>
      <c r="R19" s="193">
        <f t="shared" si="3"/>
        <v>0</v>
      </c>
      <c r="S19" s="193">
        <f t="shared" si="1"/>
        <v>0</v>
      </c>
    </row>
    <row r="20" spans="1:19" s="184" customFormat="1">
      <c r="A20" s="1286"/>
      <c r="B20" s="185">
        <v>491000000</v>
      </c>
      <c r="C20" s="186" t="s">
        <v>410</v>
      </c>
      <c r="D20" s="187">
        <v>-455807.89</v>
      </c>
      <c r="E20" s="187">
        <v>0</v>
      </c>
      <c r="F20" s="187">
        <v>-672064.19900000002</v>
      </c>
      <c r="G20" s="187">
        <v>0</v>
      </c>
      <c r="H20" s="187">
        <v>0</v>
      </c>
      <c r="I20" s="187">
        <v>-1127872.0890000002</v>
      </c>
      <c r="J20" s="187" t="s">
        <v>411</v>
      </c>
      <c r="K20" s="187">
        <v>0</v>
      </c>
      <c r="L20" s="187">
        <v>0</v>
      </c>
      <c r="M20" s="187">
        <v>-1127872.0890000002</v>
      </c>
      <c r="N20" s="189" t="s">
        <v>403</v>
      </c>
      <c r="O20" s="193" t="s">
        <v>162</v>
      </c>
      <c r="P20" s="193">
        <f t="shared" si="2"/>
        <v>-455807.89</v>
      </c>
      <c r="Q20" s="193">
        <f t="shared" si="0"/>
        <v>-672064.19900000002</v>
      </c>
      <c r="R20" s="193">
        <f t="shared" si="3"/>
        <v>0</v>
      </c>
      <c r="S20" s="193">
        <f t="shared" si="1"/>
        <v>0</v>
      </c>
    </row>
    <row r="21" spans="1:19" s="184" customFormat="1" ht="12.75">
      <c r="A21" s="1286"/>
      <c r="B21" s="185">
        <v>496000000</v>
      </c>
      <c r="C21" s="186" t="s">
        <v>412</v>
      </c>
      <c r="D21" s="187">
        <v>-223419.685</v>
      </c>
      <c r="E21" s="187">
        <v>-7453.63</v>
      </c>
      <c r="F21" s="187">
        <v>0</v>
      </c>
      <c r="G21" s="187">
        <v>0</v>
      </c>
      <c r="H21" s="187">
        <v>0</v>
      </c>
      <c r="I21" s="187">
        <v>-230873.315</v>
      </c>
      <c r="J21" s="187" t="s">
        <v>409</v>
      </c>
      <c r="K21" s="178">
        <v>0</v>
      </c>
      <c r="L21" s="178">
        <v>0</v>
      </c>
      <c r="M21" s="187">
        <v>-230873.315</v>
      </c>
      <c r="N21" s="189" t="s">
        <v>403</v>
      </c>
      <c r="O21" s="193" t="s">
        <v>162</v>
      </c>
      <c r="P21" s="193">
        <f t="shared" si="2"/>
        <v>-230873.315</v>
      </c>
      <c r="Q21" s="193">
        <f t="shared" si="0"/>
        <v>0</v>
      </c>
      <c r="R21" s="193">
        <f t="shared" si="3"/>
        <v>0</v>
      </c>
      <c r="S21" s="193">
        <f t="shared" si="1"/>
        <v>0</v>
      </c>
    </row>
    <row r="22" spans="1:19" s="184" customFormat="1" ht="12.75">
      <c r="A22" s="1286"/>
      <c r="B22" s="185">
        <v>532000000</v>
      </c>
      <c r="C22" s="186" t="s">
        <v>413</v>
      </c>
      <c r="D22" s="187">
        <v>89760.6</v>
      </c>
      <c r="E22" s="187">
        <v>0</v>
      </c>
      <c r="F22" s="187">
        <v>6140222.2999999998</v>
      </c>
      <c r="G22" s="187">
        <v>0</v>
      </c>
      <c r="H22" s="187">
        <v>0</v>
      </c>
      <c r="I22" s="187">
        <v>6229982.8999999994</v>
      </c>
      <c r="J22" s="187" t="s">
        <v>414</v>
      </c>
      <c r="K22" s="178">
        <v>0</v>
      </c>
      <c r="L22" s="178">
        <v>0</v>
      </c>
      <c r="M22" s="187">
        <v>6229982.8999999994</v>
      </c>
      <c r="N22" s="191" t="s">
        <v>403</v>
      </c>
      <c r="O22" s="193" t="s">
        <v>162</v>
      </c>
      <c r="P22" s="193">
        <f t="shared" si="2"/>
        <v>89760.6</v>
      </c>
      <c r="Q22" s="193">
        <f t="shared" si="0"/>
        <v>6140222.2999999998</v>
      </c>
      <c r="R22" s="193">
        <f t="shared" si="3"/>
        <v>0</v>
      </c>
      <c r="S22" s="193">
        <f t="shared" si="1"/>
        <v>0</v>
      </c>
    </row>
    <row r="23" spans="1:19" s="184" customFormat="1" ht="12.75">
      <c r="A23" s="1286"/>
      <c r="B23" s="185">
        <v>590000000</v>
      </c>
      <c r="C23" s="186" t="s">
        <v>415</v>
      </c>
      <c r="D23" s="187">
        <v>0</v>
      </c>
      <c r="E23" s="187">
        <v>0</v>
      </c>
      <c r="F23" s="187">
        <v>-11728.883</v>
      </c>
      <c r="G23" s="187">
        <v>0</v>
      </c>
      <c r="H23" s="187">
        <v>0</v>
      </c>
      <c r="I23" s="187">
        <v>-11728.883</v>
      </c>
      <c r="J23" s="192" t="s">
        <v>416</v>
      </c>
      <c r="K23" s="178">
        <v>0</v>
      </c>
      <c r="L23" s="178">
        <v>0</v>
      </c>
      <c r="M23" s="187">
        <v>-11728.883</v>
      </c>
      <c r="N23" s="191" t="s">
        <v>403</v>
      </c>
      <c r="O23" s="193" t="s">
        <v>162</v>
      </c>
      <c r="P23" s="193">
        <f t="shared" si="2"/>
        <v>0</v>
      </c>
      <c r="Q23" s="193">
        <f t="shared" si="0"/>
        <v>-11728.883</v>
      </c>
      <c r="R23" s="193">
        <f t="shared" si="3"/>
        <v>0</v>
      </c>
      <c r="S23" s="193">
        <f t="shared" si="1"/>
        <v>0</v>
      </c>
    </row>
    <row r="24" spans="1:19" s="184" customFormat="1">
      <c r="A24" s="1286"/>
      <c r="B24" s="198"/>
      <c r="C24" s="199"/>
      <c r="D24" s="200"/>
      <c r="E24" s="200"/>
      <c r="F24" s="200"/>
      <c r="G24" s="200"/>
      <c r="H24" s="200"/>
      <c r="I24" s="200"/>
      <c r="J24" s="192"/>
      <c r="M24" s="200"/>
      <c r="N24" s="191"/>
    </row>
    <row r="25" spans="1:19" s="184" customFormat="1">
      <c r="A25" s="1286"/>
      <c r="L25" s="194" t="s">
        <v>417</v>
      </c>
      <c r="M25" s="195">
        <f>SUM(M2:M23)</f>
        <v>33606004.577500008</v>
      </c>
      <c r="N25" s="194"/>
      <c r="O25" s="184" t="s">
        <v>162</v>
      </c>
      <c r="P25" s="193">
        <f>SUM(P14:P23)</f>
        <v>2463146.17</v>
      </c>
      <c r="Q25" s="193">
        <f>SUM(Q14:Q23)</f>
        <v>16730716.913000016</v>
      </c>
      <c r="R25" s="195">
        <f>SUM(P25:Q25)</f>
        <v>19193863.083000015</v>
      </c>
    </row>
    <row r="26" spans="1:19" s="184" customFormat="1">
      <c r="A26" s="1286"/>
      <c r="L26" s="194" t="s">
        <v>418</v>
      </c>
      <c r="M26" s="196">
        <f>'[83]Balance Sheet'!$C$59+'[83]Balance Sheet'!$C$60+'[83]Balance Sheet'!$C$62+'[83]Balance Sheet'!$C$69-'[83]Balance Sheet'!$G$65</f>
        <v>33606004.577500015</v>
      </c>
      <c r="N26" s="197">
        <f>M25-M26</f>
        <v>0</v>
      </c>
      <c r="O26" s="184" t="s">
        <v>172</v>
      </c>
      <c r="P26" s="193">
        <f>SUM(P2:P8)</f>
        <v>15406385.692</v>
      </c>
      <c r="Q26" s="193">
        <f>SUM(Q2:Q8)</f>
        <v>2077549.1574999997</v>
      </c>
      <c r="R26" s="195">
        <f>SUM(P26:Q26)</f>
        <v>17483934.8495</v>
      </c>
    </row>
    <row r="27" spans="1:19" s="184" customFormat="1">
      <c r="A27" s="1286"/>
      <c r="O27" s="184" t="s">
        <v>164</v>
      </c>
      <c r="P27" s="193">
        <f>SUM(P9:P13)</f>
        <v>-2743793.3550000014</v>
      </c>
      <c r="Q27" s="193">
        <f>SUM(Q9:Q13)</f>
        <v>-328000</v>
      </c>
      <c r="R27" s="195">
        <f>SUM(P27:Q27)</f>
        <v>-3071793.3550000014</v>
      </c>
    </row>
    <row r="28" spans="1:19" s="184" customFormat="1">
      <c r="A28" s="1286"/>
      <c r="O28" s="194" t="s">
        <v>423</v>
      </c>
      <c r="P28" s="195">
        <f>SUM(P25:P27)</f>
        <v>15125738.506999999</v>
      </c>
      <c r="Q28" s="195">
        <f>SUM(Q25:Q27)</f>
        <v>18480266.070500016</v>
      </c>
      <c r="R28" s="202">
        <f>SUM(R25:R27)</f>
        <v>33606004.577500015</v>
      </c>
    </row>
    <row r="29" spans="1:19" s="184" customFormat="1">
      <c r="A29" s="1286"/>
    </row>
    <row r="30" spans="1:19" s="184" customFormat="1"/>
    <row r="31" spans="1:19" s="184" customFormat="1"/>
    <row r="32" spans="1:19" s="184" customFormat="1"/>
    <row r="33" spans="1:19" s="184" customFormat="1" ht="31.5">
      <c r="A33" s="1285">
        <v>44805</v>
      </c>
      <c r="B33" s="179" t="s">
        <v>374</v>
      </c>
      <c r="C33" s="180" t="s">
        <v>375</v>
      </c>
      <c r="D33" s="181" t="s">
        <v>169</v>
      </c>
      <c r="E33" s="181" t="s">
        <v>244</v>
      </c>
      <c r="F33" s="181" t="s">
        <v>170</v>
      </c>
      <c r="G33" s="181" t="s">
        <v>243</v>
      </c>
      <c r="H33" s="181" t="s">
        <v>376</v>
      </c>
      <c r="I33" s="181" t="s">
        <v>377</v>
      </c>
      <c r="J33" s="181" t="s">
        <v>431</v>
      </c>
      <c r="K33" s="181" t="s">
        <v>378</v>
      </c>
      <c r="L33" s="181" t="s">
        <v>379</v>
      </c>
      <c r="M33" s="182" t="s">
        <v>432</v>
      </c>
      <c r="N33" s="183" t="s">
        <v>433</v>
      </c>
      <c r="P33" s="201" t="s">
        <v>421</v>
      </c>
      <c r="Q33" s="201" t="s">
        <v>419</v>
      </c>
      <c r="R33" s="201" t="s">
        <v>422</v>
      </c>
      <c r="S33" s="184" t="s">
        <v>420</v>
      </c>
    </row>
    <row r="34" spans="1:19" s="184" customFormat="1">
      <c r="A34" s="1286"/>
      <c r="B34" s="185">
        <v>311000000</v>
      </c>
      <c r="C34" s="186" t="s">
        <v>382</v>
      </c>
      <c r="D34" s="187">
        <v>7167934.089999998</v>
      </c>
      <c r="E34" s="187">
        <v>0</v>
      </c>
      <c r="F34" s="187">
        <v>0</v>
      </c>
      <c r="G34" s="187">
        <v>0</v>
      </c>
      <c r="H34" s="187">
        <v>7167934.089999998</v>
      </c>
      <c r="I34" s="187" t="s">
        <v>383</v>
      </c>
      <c r="J34" s="187">
        <v>7167934.089999998</v>
      </c>
      <c r="K34" s="187">
        <v>0</v>
      </c>
      <c r="L34" s="187">
        <v>0</v>
      </c>
      <c r="M34" s="187">
        <v>7167934.089999998</v>
      </c>
      <c r="N34" s="189" t="s">
        <v>384</v>
      </c>
      <c r="O34" s="193" t="s">
        <v>172</v>
      </c>
      <c r="P34" s="193">
        <f>SUM(D34:E34)</f>
        <v>7167934.089999998</v>
      </c>
      <c r="Q34" s="193">
        <f>F34</f>
        <v>0</v>
      </c>
      <c r="R34" s="193">
        <v>0</v>
      </c>
      <c r="S34" s="193">
        <f>SUM(P34:R34)-M34</f>
        <v>0</v>
      </c>
    </row>
    <row r="35" spans="1:19" s="184" customFormat="1">
      <c r="A35" s="1286"/>
      <c r="B35" s="185">
        <v>321000000</v>
      </c>
      <c r="C35" s="186" t="s">
        <v>385</v>
      </c>
      <c r="D35" s="187">
        <v>0</v>
      </c>
      <c r="E35" s="187">
        <v>0</v>
      </c>
      <c r="F35" s="187">
        <v>0</v>
      </c>
      <c r="G35" s="187">
        <v>75751.298999999999</v>
      </c>
      <c r="H35" s="187">
        <v>75751.298999999999</v>
      </c>
      <c r="I35" s="187" t="s">
        <v>383</v>
      </c>
      <c r="J35" s="187">
        <v>75751.298999999999</v>
      </c>
      <c r="K35" s="187">
        <v>0</v>
      </c>
      <c r="L35" s="187">
        <v>0</v>
      </c>
      <c r="M35" s="187">
        <v>75751.298999999999</v>
      </c>
      <c r="N35" s="189" t="s">
        <v>384</v>
      </c>
      <c r="O35" s="193" t="s">
        <v>172</v>
      </c>
      <c r="P35" s="193">
        <f>G35</f>
        <v>75751.298999999999</v>
      </c>
      <c r="Q35" s="193">
        <f>F35</f>
        <v>0</v>
      </c>
      <c r="R35" s="193">
        <v>0</v>
      </c>
      <c r="S35" s="193">
        <f t="shared" ref="S35:S55" si="4">SUM(P35:R35)-M35</f>
        <v>0</v>
      </c>
    </row>
    <row r="36" spans="1:19" s="184" customFormat="1">
      <c r="A36" s="1286"/>
      <c r="B36" s="185">
        <v>322000000</v>
      </c>
      <c r="C36" s="186" t="s">
        <v>386</v>
      </c>
      <c r="D36" s="187">
        <v>689245.21200000017</v>
      </c>
      <c r="E36" s="187">
        <v>0</v>
      </c>
      <c r="F36" s="187">
        <v>0</v>
      </c>
      <c r="G36" s="187">
        <v>0</v>
      </c>
      <c r="H36" s="187">
        <v>689245.21200000017</v>
      </c>
      <c r="I36" s="187" t="s">
        <v>383</v>
      </c>
      <c r="J36" s="187">
        <v>689245.21200000017</v>
      </c>
      <c r="K36" s="187">
        <v>0</v>
      </c>
      <c r="L36" s="187">
        <v>0</v>
      </c>
      <c r="M36" s="187">
        <v>689245.21200000017</v>
      </c>
      <c r="N36" s="189" t="s">
        <v>388</v>
      </c>
      <c r="O36" s="193" t="s">
        <v>172</v>
      </c>
      <c r="P36" s="193">
        <f t="shared" ref="P36:P40" si="5">SUM(D36:E36)</f>
        <v>689245.21200000017</v>
      </c>
      <c r="Q36" s="193">
        <f>F36</f>
        <v>0</v>
      </c>
      <c r="R36" s="193">
        <v>0</v>
      </c>
      <c r="S36" s="193">
        <f t="shared" si="4"/>
        <v>0</v>
      </c>
    </row>
    <row r="37" spans="1:19" s="184" customFormat="1">
      <c r="A37" s="1286"/>
      <c r="B37" s="185">
        <v>331000000</v>
      </c>
      <c r="C37" s="186" t="s">
        <v>387</v>
      </c>
      <c r="D37" s="187">
        <v>3191798.3089999994</v>
      </c>
      <c r="E37" s="187">
        <v>0</v>
      </c>
      <c r="F37" s="187">
        <v>0</v>
      </c>
      <c r="G37" s="187">
        <v>0</v>
      </c>
      <c r="H37" s="187">
        <v>3191798.3089999994</v>
      </c>
      <c r="I37" s="187" t="s">
        <v>383</v>
      </c>
      <c r="J37" s="187">
        <v>3191798.3089999994</v>
      </c>
      <c r="K37" s="187">
        <v>0</v>
      </c>
      <c r="L37" s="187">
        <v>0</v>
      </c>
      <c r="M37" s="187">
        <v>3191798.3089999994</v>
      </c>
      <c r="N37" s="189" t="s">
        <v>388</v>
      </c>
      <c r="O37" s="193" t="s">
        <v>172</v>
      </c>
      <c r="P37" s="193">
        <f t="shared" si="5"/>
        <v>3191798.3089999994</v>
      </c>
      <c r="Q37" s="193">
        <f>F37</f>
        <v>0</v>
      </c>
      <c r="R37" s="193">
        <v>0</v>
      </c>
      <c r="S37" s="193">
        <f t="shared" si="4"/>
        <v>0</v>
      </c>
    </row>
    <row r="38" spans="1:19" s="184" customFormat="1">
      <c r="A38" s="1286"/>
      <c r="B38" s="185">
        <v>355000000</v>
      </c>
      <c r="C38" s="186" t="s">
        <v>389</v>
      </c>
      <c r="D38" s="187">
        <v>676138.96100000024</v>
      </c>
      <c r="E38" s="187">
        <v>0</v>
      </c>
      <c r="F38" s="187">
        <v>0</v>
      </c>
      <c r="G38" s="187">
        <v>0</v>
      </c>
      <c r="H38" s="187">
        <v>676138.96100000024</v>
      </c>
      <c r="I38" s="187" t="s">
        <v>383</v>
      </c>
      <c r="J38" s="187">
        <v>676138.96100000024</v>
      </c>
      <c r="K38" s="187">
        <v>0</v>
      </c>
      <c r="L38" s="187">
        <v>0</v>
      </c>
      <c r="M38" s="187">
        <v>676138.96100000024</v>
      </c>
      <c r="N38" s="189" t="s">
        <v>396</v>
      </c>
      <c r="O38" s="193" t="s">
        <v>172</v>
      </c>
      <c r="P38" s="193">
        <f t="shared" si="5"/>
        <v>676138.96100000024</v>
      </c>
      <c r="Q38" s="193">
        <f>F38</f>
        <v>0</v>
      </c>
      <c r="R38" s="193">
        <v>0</v>
      </c>
      <c r="S38" s="193">
        <f t="shared" si="4"/>
        <v>0</v>
      </c>
    </row>
    <row r="39" spans="1:19" s="184" customFormat="1">
      <c r="A39" s="1286"/>
      <c r="B39" s="185">
        <v>370000000</v>
      </c>
      <c r="C39" s="186" t="s">
        <v>390</v>
      </c>
      <c r="D39" s="187">
        <v>0</v>
      </c>
      <c r="E39" s="187">
        <v>0</v>
      </c>
      <c r="F39" s="187">
        <v>2643566.7930000001</v>
      </c>
      <c r="G39" s="187">
        <v>0</v>
      </c>
      <c r="H39" s="187">
        <v>2643566.7930000001</v>
      </c>
      <c r="I39" s="187" t="s">
        <v>383</v>
      </c>
      <c r="J39" s="187">
        <v>2643566.7930000001</v>
      </c>
      <c r="K39" s="187">
        <v>330736.91983333341</v>
      </c>
      <c r="L39" s="187">
        <v>771331.3853333334</v>
      </c>
      <c r="M39" s="187">
        <v>2202972.3274999997</v>
      </c>
      <c r="N39" s="189" t="s">
        <v>396</v>
      </c>
      <c r="O39" s="193" t="s">
        <v>172</v>
      </c>
      <c r="P39" s="193">
        <f t="shared" si="5"/>
        <v>0</v>
      </c>
      <c r="Q39" s="193">
        <f>M39</f>
        <v>2202972.3274999997</v>
      </c>
      <c r="R39" s="193">
        <v>0</v>
      </c>
      <c r="S39" s="193">
        <f t="shared" si="4"/>
        <v>0</v>
      </c>
    </row>
    <row r="40" spans="1:19" s="184" customFormat="1">
      <c r="A40" s="1286"/>
      <c r="B40" s="185">
        <v>390000000</v>
      </c>
      <c r="C40" s="186" t="s">
        <v>391</v>
      </c>
      <c r="D40" s="187">
        <v>-60168.118999999992</v>
      </c>
      <c r="E40" s="187">
        <v>0</v>
      </c>
      <c r="F40" s="187">
        <v>0</v>
      </c>
      <c r="G40" s="187">
        <v>0</v>
      </c>
      <c r="H40" s="187">
        <v>-60168.118999999992</v>
      </c>
      <c r="I40" s="187" t="s">
        <v>392</v>
      </c>
      <c r="J40" s="187">
        <v>-60168.118999999992</v>
      </c>
      <c r="K40" s="187">
        <v>0</v>
      </c>
      <c r="L40" s="187">
        <v>0</v>
      </c>
      <c r="M40" s="187">
        <v>-60168.118999999992</v>
      </c>
      <c r="N40" s="189" t="s">
        <v>384</v>
      </c>
      <c r="O40" s="193" t="s">
        <v>172</v>
      </c>
      <c r="P40" s="193">
        <f t="shared" si="5"/>
        <v>-60168.118999999992</v>
      </c>
      <c r="Q40" s="193">
        <f t="shared" ref="Q40" si="6">F40</f>
        <v>0</v>
      </c>
      <c r="R40" s="193">
        <v>0</v>
      </c>
      <c r="S40" s="193">
        <f t="shared" si="4"/>
        <v>0</v>
      </c>
    </row>
    <row r="41" spans="1:19" s="184" customFormat="1">
      <c r="A41" s="1286"/>
      <c r="B41" s="185">
        <v>401000000</v>
      </c>
      <c r="C41" s="186" t="s">
        <v>393</v>
      </c>
      <c r="D41" s="187">
        <v>-2233304.6330124885</v>
      </c>
      <c r="E41" s="187">
        <v>-447055.93400000001</v>
      </c>
      <c r="F41" s="187">
        <v>-11137212.264</v>
      </c>
      <c r="G41" s="187">
        <v>-255553.37900000004</v>
      </c>
      <c r="H41" s="187">
        <v>-14073126.210012499</v>
      </c>
      <c r="I41" s="187" t="s">
        <v>394</v>
      </c>
      <c r="J41" s="187">
        <v>-14073126.21001249</v>
      </c>
      <c r="K41" s="187">
        <v>10845401.903000001</v>
      </c>
      <c r="L41" s="187">
        <v>0</v>
      </c>
      <c r="M41" s="187">
        <v>-3227724.3070124891</v>
      </c>
      <c r="N41" s="189" t="s">
        <v>397</v>
      </c>
      <c r="O41" s="193" t="s">
        <v>164</v>
      </c>
      <c r="P41" s="193">
        <v>-2936724</v>
      </c>
      <c r="Q41" s="193">
        <v>-291000</v>
      </c>
      <c r="R41" s="193">
        <v>0</v>
      </c>
      <c r="S41" s="193">
        <f t="shared" si="4"/>
        <v>0.30701248906552792</v>
      </c>
    </row>
    <row r="42" spans="1:19" s="184" customFormat="1">
      <c r="A42" s="1286"/>
      <c r="B42" s="185">
        <v>403000000</v>
      </c>
      <c r="C42" s="186" t="s">
        <v>395</v>
      </c>
      <c r="D42" s="187">
        <v>-940382.71499999799</v>
      </c>
      <c r="E42" s="187">
        <v>0</v>
      </c>
      <c r="F42" s="187">
        <v>-106222.053</v>
      </c>
      <c r="G42" s="187">
        <v>0</v>
      </c>
      <c r="H42" s="187">
        <v>-1046604.7679999979</v>
      </c>
      <c r="I42" s="187" t="s">
        <v>394</v>
      </c>
      <c r="J42" s="187">
        <v>-1046604.7679999979</v>
      </c>
      <c r="K42" s="187">
        <v>0</v>
      </c>
      <c r="L42" s="187">
        <v>0</v>
      </c>
      <c r="M42" s="187">
        <v>-1046604.7679999979</v>
      </c>
      <c r="N42" s="189" t="s">
        <v>397</v>
      </c>
      <c r="O42" s="193" t="s">
        <v>164</v>
      </c>
      <c r="P42" s="193">
        <f t="shared" ref="P42" si="7">SUM(D42:E42)</f>
        <v>-940382.71499999799</v>
      </c>
      <c r="Q42" s="193">
        <f t="shared" ref="Q42:Q45" si="8">F42</f>
        <v>-106222.053</v>
      </c>
      <c r="R42" s="193">
        <v>0</v>
      </c>
      <c r="S42" s="193">
        <f t="shared" si="4"/>
        <v>0</v>
      </c>
    </row>
    <row r="43" spans="1:19" s="184" customFormat="1">
      <c r="A43" s="1286"/>
      <c r="B43" s="185">
        <v>403010000</v>
      </c>
      <c r="C43" s="186" t="s">
        <v>434</v>
      </c>
      <c r="D43" s="187"/>
      <c r="E43" s="187"/>
      <c r="F43" s="187"/>
      <c r="G43" s="187"/>
      <c r="H43" s="187">
        <v>0</v>
      </c>
      <c r="I43" s="187"/>
      <c r="J43" s="187">
        <v>0</v>
      </c>
      <c r="K43" s="187">
        <v>-286734</v>
      </c>
      <c r="L43" s="187">
        <v>0</v>
      </c>
      <c r="M43" s="187">
        <v>-286734</v>
      </c>
      <c r="N43" s="189" t="s">
        <v>397</v>
      </c>
      <c r="O43" s="193" t="s">
        <v>164</v>
      </c>
      <c r="P43" s="193">
        <f>M43</f>
        <v>-286734</v>
      </c>
      <c r="Q43" s="193">
        <f t="shared" si="8"/>
        <v>0</v>
      </c>
      <c r="R43" s="193">
        <v>0</v>
      </c>
      <c r="S43" s="193">
        <f t="shared" si="4"/>
        <v>0</v>
      </c>
    </row>
    <row r="44" spans="1:19" s="184" customFormat="1">
      <c r="A44" s="1286"/>
      <c r="B44" s="185">
        <v>406000000</v>
      </c>
      <c r="C44" s="186" t="s">
        <v>399</v>
      </c>
      <c r="D44" s="187">
        <v>-1308149.2062756177</v>
      </c>
      <c r="E44" s="187">
        <v>0</v>
      </c>
      <c r="F44" s="187">
        <v>0</v>
      </c>
      <c r="G44" s="187">
        <v>0</v>
      </c>
      <c r="H44" s="187">
        <v>-1308149.2062756177</v>
      </c>
      <c r="I44" s="187" t="s">
        <v>394</v>
      </c>
      <c r="J44" s="187">
        <v>-1308149.2062756177</v>
      </c>
      <c r="K44" s="187">
        <v>0</v>
      </c>
      <c r="L44" s="187">
        <v>0</v>
      </c>
      <c r="M44" s="187">
        <v>-1308149.2062756177</v>
      </c>
      <c r="N44" s="189" t="s">
        <v>397</v>
      </c>
      <c r="O44" s="193" t="s">
        <v>164</v>
      </c>
      <c r="P44" s="193">
        <f t="shared" ref="P44:P45" si="9">SUM(D44:E44)</f>
        <v>-1308149.2062756177</v>
      </c>
      <c r="Q44" s="193">
        <f t="shared" si="8"/>
        <v>0</v>
      </c>
      <c r="R44" s="193">
        <v>0</v>
      </c>
      <c r="S44" s="193">
        <f t="shared" si="4"/>
        <v>0</v>
      </c>
    </row>
    <row r="45" spans="1:19" s="184" customFormat="1">
      <c r="A45" s="1286"/>
      <c r="B45" s="185">
        <v>408000000</v>
      </c>
      <c r="C45" s="186" t="s">
        <v>400</v>
      </c>
      <c r="D45" s="187">
        <v>-4980</v>
      </c>
      <c r="E45" s="187">
        <v>0</v>
      </c>
      <c r="F45" s="187">
        <v>0</v>
      </c>
      <c r="G45" s="187">
        <v>0</v>
      </c>
      <c r="H45" s="187">
        <v>-4980</v>
      </c>
      <c r="I45" s="187" t="s">
        <v>394</v>
      </c>
      <c r="J45" s="187">
        <v>-4980</v>
      </c>
      <c r="K45" s="187">
        <v>0</v>
      </c>
      <c r="L45" s="187">
        <v>0</v>
      </c>
      <c r="M45" s="187">
        <v>-4980</v>
      </c>
      <c r="N45" s="189" t="s">
        <v>397</v>
      </c>
      <c r="O45" s="193" t="s">
        <v>164</v>
      </c>
      <c r="P45" s="193">
        <f t="shared" si="9"/>
        <v>-4980</v>
      </c>
      <c r="Q45" s="193">
        <f t="shared" si="8"/>
        <v>0</v>
      </c>
      <c r="R45" s="193">
        <v>0</v>
      </c>
      <c r="S45" s="193">
        <f t="shared" si="4"/>
        <v>0</v>
      </c>
    </row>
    <row r="46" spans="1:19" s="184" customFormat="1">
      <c r="A46" s="1286"/>
      <c r="B46" s="185">
        <v>411000000</v>
      </c>
      <c r="C46" s="186" t="s">
        <v>401</v>
      </c>
      <c r="D46" s="187">
        <v>11715932.471658006</v>
      </c>
      <c r="E46" s="187">
        <v>470397.28499999992</v>
      </c>
      <c r="F46" s="187">
        <v>5734939.9299999997</v>
      </c>
      <c r="G46" s="187">
        <v>25876.616999999998</v>
      </c>
      <c r="H46" s="187">
        <v>17947146.303658005</v>
      </c>
      <c r="I46" s="187" t="s">
        <v>402</v>
      </c>
      <c r="J46" s="187">
        <v>17947146.303658005</v>
      </c>
      <c r="K46" s="187">
        <v>0</v>
      </c>
      <c r="L46" s="187">
        <v>10896927.119999988</v>
      </c>
      <c r="M46" s="187">
        <v>7050219.1836580168</v>
      </c>
      <c r="N46" s="189" t="s">
        <v>403</v>
      </c>
      <c r="O46" s="193" t="s">
        <v>162</v>
      </c>
      <c r="P46" s="193">
        <v>0</v>
      </c>
      <c r="Q46" s="193">
        <f>M46</f>
        <v>7050219.1836580168</v>
      </c>
      <c r="R46" s="193">
        <v>0</v>
      </c>
      <c r="S46" s="193">
        <f t="shared" si="4"/>
        <v>0</v>
      </c>
    </row>
    <row r="47" spans="1:19" s="184" customFormat="1">
      <c r="A47" s="1286"/>
      <c r="B47" s="185">
        <v>413010000</v>
      </c>
      <c r="C47" s="186" t="s">
        <v>404</v>
      </c>
      <c r="D47" s="187">
        <v>0</v>
      </c>
      <c r="E47" s="187">
        <v>0</v>
      </c>
      <c r="F47" s="187">
        <v>651638.30000000005</v>
      </c>
      <c r="G47" s="187">
        <v>0</v>
      </c>
      <c r="H47" s="187">
        <v>651638.30000000005</v>
      </c>
      <c r="I47" s="187" t="s">
        <v>402</v>
      </c>
      <c r="J47" s="187">
        <v>651638.30000000005</v>
      </c>
      <c r="K47" s="187">
        <v>0</v>
      </c>
      <c r="L47" s="187">
        <v>0</v>
      </c>
      <c r="M47" s="187">
        <v>651638.30000000005</v>
      </c>
      <c r="N47" s="189" t="s">
        <v>403</v>
      </c>
      <c r="O47" s="193" t="s">
        <v>162</v>
      </c>
      <c r="P47" s="193">
        <f t="shared" ref="P47" si="10">SUM(D47:E47)</f>
        <v>0</v>
      </c>
      <c r="Q47" s="193">
        <f t="shared" ref="Q47:Q55" si="11">F47</f>
        <v>651638.30000000005</v>
      </c>
      <c r="R47" s="193">
        <v>0</v>
      </c>
      <c r="S47" s="193">
        <f t="shared" si="4"/>
        <v>0</v>
      </c>
    </row>
    <row r="48" spans="1:19" s="184" customFormat="1">
      <c r="A48" s="1286"/>
      <c r="B48" s="185">
        <v>415000000</v>
      </c>
      <c r="C48" s="186" t="s">
        <v>405</v>
      </c>
      <c r="D48" s="187">
        <v>2820122.5591355199</v>
      </c>
      <c r="E48" s="187">
        <v>0</v>
      </c>
      <c r="F48" s="187">
        <v>0</v>
      </c>
      <c r="G48" s="187">
        <v>0</v>
      </c>
      <c r="H48" s="187">
        <v>2820122.5591355199</v>
      </c>
      <c r="I48" s="187" t="s">
        <v>402</v>
      </c>
      <c r="J48" s="187">
        <v>2820122.5591355199</v>
      </c>
      <c r="K48" s="187">
        <v>0</v>
      </c>
      <c r="L48" s="187">
        <v>0</v>
      </c>
      <c r="M48" s="187">
        <v>2820122.5591355199</v>
      </c>
      <c r="N48" s="189" t="s">
        <v>403</v>
      </c>
      <c r="O48" s="193" t="s">
        <v>162</v>
      </c>
      <c r="P48" s="193">
        <f>M48</f>
        <v>2820122.5591355199</v>
      </c>
      <c r="Q48" s="193">
        <f t="shared" si="11"/>
        <v>0</v>
      </c>
      <c r="R48" s="193">
        <v>0</v>
      </c>
      <c r="S48" s="193">
        <f t="shared" si="4"/>
        <v>0</v>
      </c>
    </row>
    <row r="49" spans="1:22" s="184" customFormat="1">
      <c r="A49" s="1286"/>
      <c r="B49" s="185">
        <v>416000000</v>
      </c>
      <c r="C49" s="186" t="s">
        <v>406</v>
      </c>
      <c r="D49" s="187">
        <v>0</v>
      </c>
      <c r="E49" s="187">
        <v>0</v>
      </c>
      <c r="F49" s="187">
        <v>351680.33399999997</v>
      </c>
      <c r="G49" s="187">
        <v>0</v>
      </c>
      <c r="H49" s="187">
        <v>351680.33399999997</v>
      </c>
      <c r="I49" s="187" t="s">
        <v>402</v>
      </c>
      <c r="J49" s="187">
        <v>351680.33399999997</v>
      </c>
      <c r="K49" s="187">
        <v>0</v>
      </c>
      <c r="L49" s="187">
        <v>0</v>
      </c>
      <c r="M49" s="187">
        <v>351680.33399999997</v>
      </c>
      <c r="N49" s="189" t="s">
        <v>403</v>
      </c>
      <c r="O49" s="193" t="s">
        <v>162</v>
      </c>
      <c r="P49" s="193">
        <f t="shared" ref="P49:P55" si="12">SUM(D49:E49)</f>
        <v>0</v>
      </c>
      <c r="Q49" s="193">
        <f t="shared" si="11"/>
        <v>351680.33399999997</v>
      </c>
      <c r="R49" s="193">
        <v>0</v>
      </c>
      <c r="S49" s="193">
        <f t="shared" si="4"/>
        <v>0</v>
      </c>
    </row>
    <row r="50" spans="1:22" s="184" customFormat="1">
      <c r="A50" s="1286"/>
      <c r="B50" s="185">
        <v>416010000</v>
      </c>
      <c r="C50" s="186" t="s">
        <v>407</v>
      </c>
      <c r="D50" s="187">
        <v>0</v>
      </c>
      <c r="E50" s="187">
        <v>0</v>
      </c>
      <c r="F50" s="187">
        <v>29878.600999999999</v>
      </c>
      <c r="G50" s="187">
        <v>0</v>
      </c>
      <c r="H50" s="187">
        <v>29878.600999999999</v>
      </c>
      <c r="I50" s="187" t="s">
        <v>402</v>
      </c>
      <c r="J50" s="187">
        <v>29878.600999999999</v>
      </c>
      <c r="K50" s="187">
        <v>0</v>
      </c>
      <c r="L50" s="187">
        <v>0</v>
      </c>
      <c r="M50" s="187">
        <v>29878.600999999999</v>
      </c>
      <c r="N50" s="189" t="s">
        <v>403</v>
      </c>
      <c r="O50" s="193" t="s">
        <v>162</v>
      </c>
      <c r="P50" s="193">
        <f t="shared" si="12"/>
        <v>0</v>
      </c>
      <c r="Q50" s="193">
        <f t="shared" si="11"/>
        <v>29878.600999999999</v>
      </c>
      <c r="R50" s="193">
        <v>0</v>
      </c>
      <c r="S50" s="193">
        <f t="shared" si="4"/>
        <v>0</v>
      </c>
    </row>
    <row r="51" spans="1:22" s="184" customFormat="1">
      <c r="A51" s="1286"/>
      <c r="B51" s="185">
        <v>490000000</v>
      </c>
      <c r="C51" s="186" t="s">
        <v>408</v>
      </c>
      <c r="D51" s="187">
        <v>0</v>
      </c>
      <c r="E51" s="187">
        <v>0</v>
      </c>
      <c r="F51" s="187">
        <v>-7169.9709999999995</v>
      </c>
      <c r="G51" s="187">
        <v>0</v>
      </c>
      <c r="H51" s="187">
        <v>-7169.9709999999995</v>
      </c>
      <c r="I51" s="187" t="s">
        <v>409</v>
      </c>
      <c r="J51" s="187">
        <v>-7169.9709999999995</v>
      </c>
      <c r="K51" s="187">
        <v>0</v>
      </c>
      <c r="L51" s="187">
        <v>0</v>
      </c>
      <c r="M51" s="187">
        <v>-7169.9709999999995</v>
      </c>
      <c r="N51" s="189" t="s">
        <v>403</v>
      </c>
      <c r="O51" s="193" t="s">
        <v>162</v>
      </c>
      <c r="P51" s="193">
        <f t="shared" si="12"/>
        <v>0</v>
      </c>
      <c r="Q51" s="193">
        <f t="shared" si="11"/>
        <v>-7169.9709999999995</v>
      </c>
      <c r="R51" s="193">
        <v>0</v>
      </c>
      <c r="S51" s="193">
        <f t="shared" si="4"/>
        <v>0</v>
      </c>
    </row>
    <row r="52" spans="1:22" s="184" customFormat="1">
      <c r="A52" s="1286"/>
      <c r="B52" s="185">
        <v>491000000</v>
      </c>
      <c r="C52" s="186" t="s">
        <v>410</v>
      </c>
      <c r="D52" s="187">
        <v>-455807.89000000025</v>
      </c>
      <c r="E52" s="187">
        <v>0</v>
      </c>
      <c r="F52" s="187">
        <v>-672064.19900000002</v>
      </c>
      <c r="G52" s="187">
        <v>0</v>
      </c>
      <c r="H52" s="187">
        <v>-1127872.0890000002</v>
      </c>
      <c r="I52" s="187" t="s">
        <v>411</v>
      </c>
      <c r="J52" s="187">
        <v>-1127872.0890000002</v>
      </c>
      <c r="K52" s="187">
        <v>0</v>
      </c>
      <c r="L52" s="187">
        <v>0</v>
      </c>
      <c r="M52" s="187">
        <v>-1127872.0890000002</v>
      </c>
      <c r="N52" s="189" t="s">
        <v>403</v>
      </c>
      <c r="O52" s="193" t="s">
        <v>162</v>
      </c>
      <c r="P52" s="193">
        <f t="shared" si="12"/>
        <v>-455807.89000000025</v>
      </c>
      <c r="Q52" s="193">
        <f t="shared" si="11"/>
        <v>-672064.19900000002</v>
      </c>
      <c r="R52" s="193">
        <v>0</v>
      </c>
      <c r="S52" s="193">
        <f t="shared" si="4"/>
        <v>0</v>
      </c>
    </row>
    <row r="53" spans="1:22" s="184" customFormat="1">
      <c r="A53" s="1286"/>
      <c r="B53" s="185">
        <v>496000000</v>
      </c>
      <c r="C53" s="186" t="s">
        <v>412</v>
      </c>
      <c r="D53" s="187">
        <v>-223419.68500000014</v>
      </c>
      <c r="E53" s="187">
        <v>-7453.63</v>
      </c>
      <c r="F53" s="187">
        <v>0</v>
      </c>
      <c r="G53" s="187">
        <v>0</v>
      </c>
      <c r="H53" s="187">
        <v>-230873.31500000015</v>
      </c>
      <c r="I53" s="187" t="s">
        <v>409</v>
      </c>
      <c r="J53" s="187">
        <v>-230873.31500000015</v>
      </c>
      <c r="K53" s="187">
        <v>0</v>
      </c>
      <c r="L53" s="187">
        <v>0</v>
      </c>
      <c r="M53" s="187">
        <v>-230873.31500000015</v>
      </c>
      <c r="N53" s="189" t="s">
        <v>403</v>
      </c>
      <c r="O53" s="193" t="s">
        <v>162</v>
      </c>
      <c r="P53" s="193">
        <f t="shared" si="12"/>
        <v>-230873.31500000015</v>
      </c>
      <c r="Q53" s="193">
        <f t="shared" si="11"/>
        <v>0</v>
      </c>
      <c r="R53" s="193">
        <v>0</v>
      </c>
      <c r="S53" s="193">
        <f t="shared" si="4"/>
        <v>0</v>
      </c>
    </row>
    <row r="54" spans="1:22" s="184" customFormat="1">
      <c r="B54" s="185">
        <v>532000000</v>
      </c>
      <c r="C54" s="186" t="s">
        <v>413</v>
      </c>
      <c r="D54" s="187">
        <v>7.4505805969238281E-9</v>
      </c>
      <c r="E54" s="187">
        <v>0</v>
      </c>
      <c r="F54" s="187">
        <v>4884194.3279999997</v>
      </c>
      <c r="G54" s="187">
        <v>0</v>
      </c>
      <c r="H54" s="187">
        <v>4884194.3280000072</v>
      </c>
      <c r="I54" s="187" t="s">
        <v>414</v>
      </c>
      <c r="J54" s="187">
        <v>4884194.3280000072</v>
      </c>
      <c r="K54" s="187">
        <v>812491</v>
      </c>
      <c r="L54" s="187">
        <v>0</v>
      </c>
      <c r="M54" s="187">
        <v>5696685.3280000072</v>
      </c>
      <c r="N54" s="189" t="s">
        <v>403</v>
      </c>
      <c r="O54" s="193" t="s">
        <v>162</v>
      </c>
      <c r="P54" s="193">
        <f t="shared" si="12"/>
        <v>7.4505805969238281E-9</v>
      </c>
      <c r="Q54" s="193">
        <f>M54</f>
        <v>5696685.3280000072</v>
      </c>
      <c r="R54" s="193">
        <v>0</v>
      </c>
      <c r="S54" s="193">
        <f t="shared" si="4"/>
        <v>7.4505805969238281E-9</v>
      </c>
    </row>
    <row r="55" spans="1:22" s="184" customFormat="1">
      <c r="B55" s="185">
        <v>590000000</v>
      </c>
      <c r="C55" s="186" t="s">
        <v>415</v>
      </c>
      <c r="D55" s="187">
        <v>0</v>
      </c>
      <c r="E55" s="187">
        <v>0</v>
      </c>
      <c r="F55" s="187">
        <v>-11728.883</v>
      </c>
      <c r="G55" s="187">
        <v>0</v>
      </c>
      <c r="H55" s="187">
        <v>-11728.883</v>
      </c>
      <c r="I55" s="187" t="s">
        <v>416</v>
      </c>
      <c r="J55" s="187">
        <v>-11728.883</v>
      </c>
      <c r="K55" s="187">
        <v>0</v>
      </c>
      <c r="L55" s="187">
        <v>0</v>
      </c>
      <c r="M55" s="187">
        <v>-11728.883</v>
      </c>
      <c r="N55" s="189" t="s">
        <v>403</v>
      </c>
      <c r="O55" s="193" t="s">
        <v>162</v>
      </c>
      <c r="P55" s="193">
        <f t="shared" si="12"/>
        <v>0</v>
      </c>
      <c r="Q55" s="193">
        <f t="shared" si="11"/>
        <v>-11728.883</v>
      </c>
      <c r="R55" s="193">
        <v>0</v>
      </c>
      <c r="S55" s="193">
        <f t="shared" si="4"/>
        <v>0</v>
      </c>
    </row>
    <row r="56" spans="1:22" s="184" customFormat="1"/>
    <row r="57" spans="1:22" s="184" customFormat="1">
      <c r="O57" s="184" t="s">
        <v>162</v>
      </c>
      <c r="P57" s="193">
        <f>SUM(P46:P55)</f>
        <v>2133441.3541355273</v>
      </c>
      <c r="Q57" s="193">
        <f>SUM(Q46:Q55)</f>
        <v>13089138.693658024</v>
      </c>
      <c r="R57" s="195">
        <f>SUM(P57:Q57)</f>
        <v>15222580.047793552</v>
      </c>
    </row>
    <row r="58" spans="1:22" s="184" customFormat="1">
      <c r="O58" s="184" t="s">
        <v>172</v>
      </c>
      <c r="P58" s="193">
        <f>SUM(P34:P40)</f>
        <v>11740699.751999997</v>
      </c>
      <c r="Q58" s="193">
        <f>SUM(Q34:Q40)</f>
        <v>2202972.3274999997</v>
      </c>
      <c r="R58" s="195">
        <f>SUM(P58:Q58)</f>
        <v>13943672.079499997</v>
      </c>
    </row>
    <row r="59" spans="1:22" s="184" customFormat="1">
      <c r="O59" s="184" t="s">
        <v>164</v>
      </c>
      <c r="P59" s="193">
        <f>SUM(P41:P45)</f>
        <v>-5476969.9212756157</v>
      </c>
      <c r="Q59" s="193">
        <f>SUM(Q41:Q45)</f>
        <v>-397222.05300000001</v>
      </c>
      <c r="R59" s="195">
        <f>SUM(P59:Q59)</f>
        <v>-5874191.974275616</v>
      </c>
    </row>
    <row r="60" spans="1:22" s="184" customFormat="1">
      <c r="O60" s="194" t="s">
        <v>423</v>
      </c>
      <c r="P60" s="195">
        <f>SUM(P57:P59)</f>
        <v>8397171.1848599091</v>
      </c>
      <c r="Q60" s="195">
        <f>SUM(Q57:Q59)</f>
        <v>14894888.968158025</v>
      </c>
      <c r="R60" s="202">
        <f>SUM(R57:R59)</f>
        <v>23292060.153017934</v>
      </c>
    </row>
    <row r="61" spans="1:22" s="184" customFormat="1"/>
    <row r="62" spans="1:22" s="184" customFormat="1"/>
    <row r="63" spans="1:22" ht="31.5">
      <c r="A63" s="1285" t="s">
        <v>2026</v>
      </c>
      <c r="B63" s="179" t="s">
        <v>374</v>
      </c>
      <c r="C63" s="180" t="s">
        <v>375</v>
      </c>
      <c r="D63" s="181" t="s">
        <v>169</v>
      </c>
      <c r="E63" s="181" t="s">
        <v>244</v>
      </c>
      <c r="F63" s="181" t="s">
        <v>170</v>
      </c>
      <c r="G63" s="181" t="s">
        <v>243</v>
      </c>
      <c r="H63" s="181" t="s">
        <v>171</v>
      </c>
      <c r="I63" s="181" t="s">
        <v>376</v>
      </c>
      <c r="J63" s="181" t="s">
        <v>377</v>
      </c>
      <c r="K63" s="181" t="s">
        <v>378</v>
      </c>
      <c r="L63" s="181" t="s">
        <v>379</v>
      </c>
      <c r="M63" s="182" t="s">
        <v>2022</v>
      </c>
      <c r="N63" s="183" t="s">
        <v>381</v>
      </c>
      <c r="P63" s="201" t="s">
        <v>421</v>
      </c>
      <c r="Q63" s="201" t="s">
        <v>419</v>
      </c>
      <c r="R63" s="201" t="s">
        <v>422</v>
      </c>
      <c r="S63" s="184" t="s">
        <v>420</v>
      </c>
    </row>
    <row r="64" spans="1:22" ht="15">
      <c r="A64" s="1286"/>
      <c r="B64" s="846">
        <v>311000000</v>
      </c>
      <c r="C64" s="847" t="s">
        <v>382</v>
      </c>
      <c r="D64" s="848">
        <f>VLOOKUP(B64/10,'[84]TCD Balance 2022'!A$1:E$65536,3,0)</f>
        <v>11069380.784</v>
      </c>
      <c r="E64" s="848">
        <f>VLOOKUP(B64/10,'[84]TCD Balance 2022'!A$1:E$65536,2,0)</f>
        <v>0</v>
      </c>
      <c r="F64" s="848">
        <f>VLOOKUP(B64/10,'[84]TCD Balance 2022'!A$1:E$65536,4,0)</f>
        <v>0</v>
      </c>
      <c r="G64" s="848">
        <f>VLOOKUP(B64/10,'[84]TCD Balance 2022'!A$1:E$65536,5,0)</f>
        <v>0</v>
      </c>
      <c r="H64" s="848">
        <f>VLOOKUP(B64/10,'[84]TCD Balance 2022'!A$1:G$65536,6,0)</f>
        <v>0</v>
      </c>
      <c r="I64" s="848">
        <f t="shared" ref="I64:I75" si="13">SUM(D64:H64)</f>
        <v>11069380.784</v>
      </c>
      <c r="J64" s="848" t="s">
        <v>383</v>
      </c>
      <c r="K64" s="819">
        <v>0</v>
      </c>
      <c r="L64" s="819">
        <v>0</v>
      </c>
      <c r="M64" s="819">
        <f>I64+K64-L64</f>
        <v>11069380.784</v>
      </c>
      <c r="N64" s="807" t="s">
        <v>384</v>
      </c>
      <c r="O64" s="193" t="s">
        <v>172</v>
      </c>
      <c r="P64" s="821">
        <f>SUM(D64:E64)</f>
        <v>11069380.784</v>
      </c>
      <c r="Q64" s="822"/>
      <c r="R64" s="822"/>
      <c r="S64" s="821">
        <f t="shared" ref="S64:S84" si="14">SUM(P64:R64)-M64</f>
        <v>0</v>
      </c>
      <c r="T64" s="822"/>
      <c r="U64" s="822"/>
      <c r="V64" s="822"/>
    </row>
    <row r="65" spans="1:22" ht="15">
      <c r="A65" s="1286"/>
      <c r="B65" s="846">
        <v>320000000</v>
      </c>
      <c r="C65" s="847" t="s">
        <v>2023</v>
      </c>
      <c r="D65" s="848">
        <f>VLOOKUP(B65/10,'[84]TCD Balance 2022'!A$1:E$65536,3,0)</f>
        <v>0</v>
      </c>
      <c r="E65" s="848">
        <f>VLOOKUP(B65/10,'[84]TCD Balance 2022'!A$1:E$65536,2,0)</f>
        <v>0</v>
      </c>
      <c r="F65" s="848">
        <f>VLOOKUP(B65/10,'[84]TCD Balance 2022'!A$1:E$65536,4,0)</f>
        <v>0</v>
      </c>
      <c r="G65" s="848">
        <f>VLOOKUP(B65/10,'[84]TCD Balance 2022'!A$1:E$65536,5,0)</f>
        <v>148000</v>
      </c>
      <c r="H65" s="848">
        <f>VLOOKUP(B65/10,'[84]TCD Balance 2022'!A$1:G$65536,6,0)</f>
        <v>0</v>
      </c>
      <c r="I65" s="848">
        <f>SUM(D65:H65)</f>
        <v>148000</v>
      </c>
      <c r="J65" s="848" t="s">
        <v>383</v>
      </c>
      <c r="K65" s="819">
        <v>0</v>
      </c>
      <c r="L65" s="819">
        <v>0</v>
      </c>
      <c r="M65" s="819">
        <f t="shared" ref="M65:M84" si="15">I65+K65-L65</f>
        <v>148000</v>
      </c>
      <c r="N65" s="807" t="s">
        <v>384</v>
      </c>
      <c r="O65" s="193" t="s">
        <v>172</v>
      </c>
      <c r="P65" s="821">
        <f>G65</f>
        <v>148000</v>
      </c>
      <c r="Q65" s="822"/>
      <c r="R65" s="822"/>
      <c r="S65" s="821">
        <f t="shared" si="14"/>
        <v>0</v>
      </c>
      <c r="T65" s="822"/>
      <c r="U65" s="822"/>
      <c r="V65" s="822"/>
    </row>
    <row r="66" spans="1:22" ht="15">
      <c r="A66" s="1286"/>
      <c r="B66" s="846">
        <v>321000000</v>
      </c>
      <c r="C66" s="847" t="s">
        <v>385</v>
      </c>
      <c r="D66" s="848">
        <f>VLOOKUP(B66/10,'[84]TCD Balance 2022'!A$1:E$65536,3,0)</f>
        <v>0</v>
      </c>
      <c r="E66" s="848">
        <f>VLOOKUP(B66/10,'[84]TCD Balance 2022'!A$1:E$65536,2,0)</f>
        <v>0</v>
      </c>
      <c r="F66" s="848">
        <f>VLOOKUP(B66/10,'[84]TCD Balance 2022'!A$1:E$65536,4,0)</f>
        <v>0</v>
      </c>
      <c r="G66" s="848">
        <f>VLOOKUP(B66/10,'[84]TCD Balance 2022'!A$1:E$65536,5,0)</f>
        <v>75751.298999999999</v>
      </c>
      <c r="H66" s="848">
        <f>VLOOKUP(B66/10,'[84]TCD Balance 2022'!A$1:G$65536,6,0)</f>
        <v>0</v>
      </c>
      <c r="I66" s="848">
        <f t="shared" si="13"/>
        <v>75751.298999999999</v>
      </c>
      <c r="J66" s="848" t="s">
        <v>383</v>
      </c>
      <c r="K66" s="819">
        <v>0</v>
      </c>
      <c r="L66" s="819">
        <v>0</v>
      </c>
      <c r="M66" s="819">
        <f t="shared" si="15"/>
        <v>75751.298999999999</v>
      </c>
      <c r="N66" s="807" t="s">
        <v>384</v>
      </c>
      <c r="O66" s="193" t="s">
        <v>172</v>
      </c>
      <c r="P66" s="821">
        <f>G66</f>
        <v>75751.298999999999</v>
      </c>
      <c r="Q66" s="822"/>
      <c r="R66" s="822"/>
      <c r="S66" s="821">
        <f t="shared" si="14"/>
        <v>0</v>
      </c>
      <c r="T66" s="822"/>
      <c r="U66" s="822"/>
      <c r="V66" s="822"/>
    </row>
    <row r="67" spans="1:22" ht="15">
      <c r="A67" s="1286"/>
      <c r="B67" s="846">
        <v>322000000</v>
      </c>
      <c r="C67" s="847" t="s">
        <v>386</v>
      </c>
      <c r="D67" s="848">
        <f>VLOOKUP(B67/10,'[84]TCD Balance 2022'!A$1:E$65536,3,0)</f>
        <v>583630.65099999995</v>
      </c>
      <c r="E67" s="848">
        <f>VLOOKUP(B67/10,'[84]TCD Balance 2022'!A$1:E$65536,2,0)</f>
        <v>0</v>
      </c>
      <c r="F67" s="848">
        <f>VLOOKUP(B67/10,'[84]TCD Balance 2022'!A$1:E$65536,4,0)</f>
        <v>0</v>
      </c>
      <c r="G67" s="848">
        <f>VLOOKUP(B67/10,'[84]TCD Balance 2022'!A$1:E$65536,5,0)</f>
        <v>0</v>
      </c>
      <c r="H67" s="848">
        <f>VLOOKUP(B67/10,'[84]TCD Balance 2022'!A$1:G$65536,6,0)</f>
        <v>0</v>
      </c>
      <c r="I67" s="848">
        <f t="shared" si="13"/>
        <v>583630.65099999995</v>
      </c>
      <c r="J67" s="848" t="s">
        <v>383</v>
      </c>
      <c r="K67" s="819">
        <v>0</v>
      </c>
      <c r="L67" s="819">
        <v>0</v>
      </c>
      <c r="M67" s="819">
        <f t="shared" si="15"/>
        <v>583630.65099999995</v>
      </c>
      <c r="N67" s="807" t="s">
        <v>388</v>
      </c>
      <c r="O67" s="193" t="s">
        <v>172</v>
      </c>
      <c r="P67" s="821">
        <f t="shared" ref="P67:P69" si="16">SUM(D67:E67)</f>
        <v>583630.65099999995</v>
      </c>
      <c r="Q67" s="822"/>
      <c r="R67" s="822"/>
      <c r="S67" s="821">
        <f t="shared" si="14"/>
        <v>0</v>
      </c>
      <c r="T67" s="822"/>
      <c r="U67" s="822"/>
      <c r="V67" s="822"/>
    </row>
    <row r="68" spans="1:22" ht="15">
      <c r="A68" s="1286"/>
      <c r="B68" s="846">
        <v>331000000</v>
      </c>
      <c r="C68" s="847" t="s">
        <v>387</v>
      </c>
      <c r="D68" s="848">
        <f>VLOOKUP(B68/10,'[84]TCD Balance 2022'!A$1:E$65536,3,0)</f>
        <v>1140754.9080000001</v>
      </c>
      <c r="E68" s="848">
        <f>VLOOKUP(B68/10,'[84]TCD Balance 2022'!A$1:E$65536,2,0)</f>
        <v>0</v>
      </c>
      <c r="F68" s="848">
        <f>VLOOKUP(B68/10,'[84]TCD Balance 2022'!A$1:E$65536,4,0)</f>
        <v>0</v>
      </c>
      <c r="G68" s="848">
        <f>VLOOKUP(B68/10,'[84]TCD Balance 2022'!A$1:E$65536,5,0)</f>
        <v>0</v>
      </c>
      <c r="H68" s="848">
        <f>VLOOKUP(B68/10,'[84]TCD Balance 2022'!A$1:G$65536,6,0)</f>
        <v>0</v>
      </c>
      <c r="I68" s="848">
        <f t="shared" si="13"/>
        <v>1140754.9080000001</v>
      </c>
      <c r="J68" s="848" t="s">
        <v>383</v>
      </c>
      <c r="K68" s="819">
        <v>0</v>
      </c>
      <c r="L68" s="819">
        <v>0</v>
      </c>
      <c r="M68" s="819">
        <f t="shared" si="15"/>
        <v>1140754.9080000001</v>
      </c>
      <c r="N68" s="807" t="s">
        <v>388</v>
      </c>
      <c r="O68" s="193" t="s">
        <v>172</v>
      </c>
      <c r="P68" s="821">
        <f t="shared" si="16"/>
        <v>1140754.9080000001</v>
      </c>
      <c r="Q68" s="822"/>
      <c r="R68" s="822"/>
      <c r="S68" s="821">
        <f t="shared" si="14"/>
        <v>0</v>
      </c>
      <c r="T68" s="822"/>
      <c r="U68" s="822"/>
      <c r="V68" s="822"/>
    </row>
    <row r="69" spans="1:22" ht="15">
      <c r="A69" s="1286"/>
      <c r="B69" s="846">
        <v>355000000</v>
      </c>
      <c r="C69" s="847" t="s">
        <v>389</v>
      </c>
      <c r="D69" s="848">
        <f>VLOOKUP(B69/10,'[84]TCD Balance 2022'!A$1:E$65536,3,0)</f>
        <v>3851747.0070000007</v>
      </c>
      <c r="E69" s="848">
        <f>VLOOKUP(B69/10,'[84]TCD Balance 2022'!A$1:E$65536,2,0)</f>
        <v>0</v>
      </c>
      <c r="F69" s="848">
        <f>VLOOKUP(B69/10,'[84]TCD Balance 2022'!A$1:E$65536,4,0)</f>
        <v>0</v>
      </c>
      <c r="G69" s="848">
        <f>VLOOKUP(B69/10,'[84]TCD Balance 2022'!A$1:E$65536,5,0)</f>
        <v>0</v>
      </c>
      <c r="H69" s="848">
        <f>VLOOKUP(B69/10,'[84]TCD Balance 2022'!A$1:G$65536,6,0)</f>
        <v>0</v>
      </c>
      <c r="I69" s="848">
        <f t="shared" si="13"/>
        <v>3851747.0070000007</v>
      </c>
      <c r="J69" s="848" t="s">
        <v>383</v>
      </c>
      <c r="K69" s="848">
        <v>0</v>
      </c>
      <c r="L69" s="848">
        <v>0</v>
      </c>
      <c r="M69" s="819">
        <f t="shared" si="15"/>
        <v>3851747.0070000007</v>
      </c>
      <c r="N69" s="807" t="s">
        <v>396</v>
      </c>
      <c r="O69" s="193" t="s">
        <v>172</v>
      </c>
      <c r="P69" s="821">
        <f t="shared" si="16"/>
        <v>3851747.0070000007</v>
      </c>
      <c r="Q69" s="822"/>
      <c r="R69" s="822"/>
      <c r="S69" s="821">
        <f t="shared" si="14"/>
        <v>0</v>
      </c>
      <c r="T69" s="822"/>
      <c r="U69" s="822"/>
      <c r="V69" s="822"/>
    </row>
    <row r="70" spans="1:22" ht="15">
      <c r="A70" s="1286"/>
      <c r="B70" s="846">
        <v>370000000</v>
      </c>
      <c r="C70" s="847" t="s">
        <v>390</v>
      </c>
      <c r="D70" s="848">
        <f>VLOOKUP(B70/10,'[84]TCD Balance 2022'!A$1:E$65536,3,0)</f>
        <v>0</v>
      </c>
      <c r="E70" s="848">
        <f>VLOOKUP(B70/10,'[84]TCD Balance 2022'!A$1:E$65536,2,0)</f>
        <v>0</v>
      </c>
      <c r="F70" s="848">
        <f>VLOOKUP(B70/10,'[84]TCD Balance 2022'!A$1:E$65536,4,0)</f>
        <v>2966130.077</v>
      </c>
      <c r="G70" s="848">
        <f>VLOOKUP(B70/10,'[84]TCD Balance 2022'!A$1:E$65536,5,0)</f>
        <v>0</v>
      </c>
      <c r="H70" s="848">
        <f>VLOOKUP(B70/10,'[84]TCD Balance 2022'!A$1:G$65536,6,0)</f>
        <v>0</v>
      </c>
      <c r="I70" s="848">
        <f t="shared" si="13"/>
        <v>2966130.077</v>
      </c>
      <c r="J70" s="848" t="s">
        <v>383</v>
      </c>
      <c r="K70" s="848">
        <v>440594.46550000005</v>
      </c>
      <c r="L70" s="848">
        <v>934949.47833333351</v>
      </c>
      <c r="M70" s="819">
        <f t="shared" si="15"/>
        <v>2471775.0641666665</v>
      </c>
      <c r="N70" s="807" t="s">
        <v>2024</v>
      </c>
      <c r="O70" s="193" t="s">
        <v>172</v>
      </c>
      <c r="P70" s="822"/>
      <c r="Q70" s="822">
        <f>+F70+K70-L70</f>
        <v>2471775.0641666665</v>
      </c>
      <c r="R70" s="822"/>
      <c r="S70" s="821">
        <f t="shared" si="14"/>
        <v>0</v>
      </c>
      <c r="T70" s="822"/>
      <c r="U70" s="822"/>
      <c r="V70" s="822"/>
    </row>
    <row r="71" spans="1:22" ht="15">
      <c r="A71" s="1286"/>
      <c r="B71" s="846">
        <v>390000000</v>
      </c>
      <c r="C71" s="847" t="s">
        <v>391</v>
      </c>
      <c r="D71" s="848">
        <f>VLOOKUP(B71/10,'[84]TCD Balance 2022'!A$1:E$65536,3,0)</f>
        <v>-60168.118999999999</v>
      </c>
      <c r="E71" s="848">
        <f>VLOOKUP(B71/10,'[84]TCD Balance 2022'!A$1:E$65536,2,0)</f>
        <v>0</v>
      </c>
      <c r="F71" s="848">
        <f>VLOOKUP(B71/10,'[84]TCD Balance 2022'!A$1:E$65536,4,0)</f>
        <v>0</v>
      </c>
      <c r="G71" s="848">
        <f>VLOOKUP(B71/10,'[84]TCD Balance 2022'!A$1:E$65536,5,0)</f>
        <v>0</v>
      </c>
      <c r="H71" s="848">
        <f>VLOOKUP(B71/10,'[84]TCD Balance 2022'!A$1:G$65536,6,0)</f>
        <v>0</v>
      </c>
      <c r="I71" s="848">
        <f t="shared" si="13"/>
        <v>-60168.118999999999</v>
      </c>
      <c r="J71" s="848" t="s">
        <v>392</v>
      </c>
      <c r="K71" s="848">
        <v>0</v>
      </c>
      <c r="L71" s="848">
        <v>0</v>
      </c>
      <c r="M71" s="819">
        <f t="shared" si="15"/>
        <v>-60168.118999999999</v>
      </c>
      <c r="N71" s="807" t="s">
        <v>384</v>
      </c>
      <c r="O71" s="193" t="s">
        <v>172</v>
      </c>
      <c r="P71" s="822">
        <f>+D71</f>
        <v>-60168.118999999999</v>
      </c>
      <c r="Q71" s="822"/>
      <c r="R71" s="822"/>
      <c r="S71" s="821">
        <f t="shared" si="14"/>
        <v>0</v>
      </c>
      <c r="T71" s="822"/>
      <c r="U71" s="822"/>
      <c r="V71" s="822"/>
    </row>
    <row r="72" spans="1:22" ht="15">
      <c r="A72" s="1286"/>
      <c r="B72" s="846">
        <v>401000000</v>
      </c>
      <c r="C72" s="847" t="s">
        <v>393</v>
      </c>
      <c r="D72" s="848">
        <f>VLOOKUP(B72/10,'[84]TCD Balance 2022'!A$1:E$65536,3,0)</f>
        <v>-2800581.2619999931</v>
      </c>
      <c r="E72" s="848">
        <f>VLOOKUP(B72/10,'[84]TCD Balance 2022'!A$1:E$65536,2,0)</f>
        <v>-445212.15600000002</v>
      </c>
      <c r="F72" s="848">
        <f>VLOOKUP(B72/10,'[84]TCD Balance 2022'!A$1:E$65536,4,0)</f>
        <v>-11203549.111000003</v>
      </c>
      <c r="G72" s="848">
        <f>VLOOKUP(B72/10,'[84]TCD Balance 2022'!A$1:E$65536,5,0)</f>
        <v>-180338.60300000003</v>
      </c>
      <c r="H72" s="851"/>
      <c r="I72" s="848">
        <f t="shared" si="13"/>
        <v>-14629681.131999996</v>
      </c>
      <c r="J72" s="848" t="s">
        <v>394</v>
      </c>
      <c r="K72" s="819">
        <v>11268482.232000012</v>
      </c>
      <c r="L72" s="820">
        <v>938544</v>
      </c>
      <c r="M72" s="819">
        <f t="shared" si="15"/>
        <v>-4299742.8999999836</v>
      </c>
      <c r="N72" s="807" t="s">
        <v>397</v>
      </c>
      <c r="O72" s="193" t="s">
        <v>164</v>
      </c>
      <c r="P72" s="822">
        <f>+D72-L72+E72+G72</f>
        <v>-4364676.0209999932</v>
      </c>
      <c r="Q72" s="822">
        <f>+F72+K72</f>
        <v>64933.121000008658</v>
      </c>
      <c r="R72" s="822">
        <f>+H72</f>
        <v>0</v>
      </c>
      <c r="S72" s="821">
        <f t="shared" si="14"/>
        <v>0</v>
      </c>
      <c r="T72" s="822"/>
      <c r="U72" s="822"/>
      <c r="V72" s="822"/>
    </row>
    <row r="73" spans="1:22" ht="15">
      <c r="A73" s="1286"/>
      <c r="B73" s="846">
        <v>403000000</v>
      </c>
      <c r="C73" s="847" t="s">
        <v>395</v>
      </c>
      <c r="D73" s="848">
        <f>VLOOKUP(B73/10,'[84]TCD Balance 2022'!A$1:E$65536,3,0)</f>
        <v>-474754.2569999994</v>
      </c>
      <c r="E73" s="848">
        <f>VLOOKUP(B73/10,'[84]TCD Balance 2022'!A$1:E$65536,2,0)</f>
        <v>0</v>
      </c>
      <c r="F73" s="848">
        <f>VLOOKUP(B73/10,'[84]TCD Balance 2022'!A$1:E$65536,4,0)</f>
        <v>-205000</v>
      </c>
      <c r="G73" s="848">
        <f>VLOOKUP(B73/10,'[84]TCD Balance 2022'!A$1:E$65536,5,0)</f>
        <v>0</v>
      </c>
      <c r="H73" s="848">
        <f>VLOOKUP(B73/10,'[84]TCD Balance 2022'!A$1:G$65536,6,0)</f>
        <v>0</v>
      </c>
      <c r="I73" s="848">
        <f t="shared" si="13"/>
        <v>-679754.2569999994</v>
      </c>
      <c r="J73" s="848" t="s">
        <v>394</v>
      </c>
      <c r="K73" s="819">
        <v>0</v>
      </c>
      <c r="L73" s="819">
        <v>0</v>
      </c>
      <c r="M73" s="819">
        <f t="shared" si="15"/>
        <v>-679754.2569999994</v>
      </c>
      <c r="N73" s="807" t="s">
        <v>397</v>
      </c>
      <c r="O73" s="193" t="s">
        <v>164</v>
      </c>
      <c r="P73" s="822">
        <f>+D73</f>
        <v>-474754.2569999994</v>
      </c>
      <c r="Q73" s="822">
        <f>+F73</f>
        <v>-205000</v>
      </c>
      <c r="R73" s="822"/>
      <c r="S73" s="821">
        <f t="shared" si="14"/>
        <v>0</v>
      </c>
      <c r="T73" s="822"/>
      <c r="U73" s="822"/>
      <c r="V73" s="822"/>
    </row>
    <row r="74" spans="1:22" ht="15">
      <c r="A74" s="1286"/>
      <c r="B74" s="846">
        <v>406000000</v>
      </c>
      <c r="C74" s="847" t="s">
        <v>399</v>
      </c>
      <c r="D74" s="848">
        <f>VLOOKUP(B74/10,'[84]TCD Balance 2022'!A$1:E$65536,3,0)</f>
        <v>-2172555.6070000008</v>
      </c>
      <c r="E74" s="848">
        <f>VLOOKUP(B74/10,'[84]TCD Balance 2022'!A$1:E$65536,2,0)</f>
        <v>0</v>
      </c>
      <c r="F74" s="848">
        <f>VLOOKUP(B74/10,'[84]TCD Balance 2022'!A$1:E$65536,4,0)</f>
        <v>0</v>
      </c>
      <c r="G74" s="848">
        <f>VLOOKUP(B74/10,'[84]TCD Balance 2022'!A$1:E$65536,5,0)</f>
        <v>0</v>
      </c>
      <c r="H74" s="848">
        <f>VLOOKUP(B74/10,'[84]TCD Balance 2022'!A$1:G$65536,6,0)</f>
        <v>0</v>
      </c>
      <c r="I74" s="848">
        <f t="shared" si="13"/>
        <v>-2172555.6070000008</v>
      </c>
      <c r="J74" s="848" t="s">
        <v>394</v>
      </c>
      <c r="K74" s="819">
        <v>0</v>
      </c>
      <c r="L74" s="819">
        <v>0</v>
      </c>
      <c r="M74" s="819">
        <f t="shared" si="15"/>
        <v>-2172555.6070000008</v>
      </c>
      <c r="N74" s="807" t="s">
        <v>397</v>
      </c>
      <c r="O74" s="193" t="s">
        <v>164</v>
      </c>
      <c r="P74" s="822">
        <f>+D74</f>
        <v>-2172555.6070000008</v>
      </c>
      <c r="Q74" s="822"/>
      <c r="R74" s="822"/>
      <c r="S74" s="821">
        <f t="shared" si="14"/>
        <v>0</v>
      </c>
      <c r="T74" s="822"/>
      <c r="U74" s="822"/>
      <c r="V74" s="822"/>
    </row>
    <row r="75" spans="1:22" ht="15">
      <c r="A75" s="1286"/>
      <c r="B75" s="846">
        <v>408000000</v>
      </c>
      <c r="C75" s="847" t="s">
        <v>400</v>
      </c>
      <c r="D75" s="848">
        <f>VLOOKUP(B75/10,'[84]TCD Balance 2022'!A$1:E$65536,3,0)</f>
        <v>-4980</v>
      </c>
      <c r="E75" s="848">
        <f>VLOOKUP(B75/10,'[84]TCD Balance 2022'!A$1:E$65536,2,0)</f>
        <v>0</v>
      </c>
      <c r="F75" s="848">
        <f>VLOOKUP(B75/10,'[84]TCD Balance 2022'!A$1:E$65536,4,0)</f>
        <v>0</v>
      </c>
      <c r="G75" s="848">
        <f>VLOOKUP(B75/10,'[84]TCD Balance 2022'!A$1:E$65536,5,0)</f>
        <v>0</v>
      </c>
      <c r="H75" s="848">
        <f>VLOOKUP(B75/10,'[84]TCD Balance 2022'!A$1:G$65536,6,0)</f>
        <v>0</v>
      </c>
      <c r="I75" s="848">
        <f t="shared" si="13"/>
        <v>-4980</v>
      </c>
      <c r="J75" s="848" t="s">
        <v>394</v>
      </c>
      <c r="K75" s="819">
        <v>0</v>
      </c>
      <c r="L75" s="819">
        <v>0</v>
      </c>
      <c r="M75" s="819">
        <f t="shared" si="15"/>
        <v>-4980</v>
      </c>
      <c r="N75" s="807" t="s">
        <v>397</v>
      </c>
      <c r="O75" s="193" t="s">
        <v>164</v>
      </c>
      <c r="P75" s="822">
        <f>+D75</f>
        <v>-4980</v>
      </c>
      <c r="Q75" s="822"/>
      <c r="R75" s="822"/>
      <c r="S75" s="821">
        <f t="shared" si="14"/>
        <v>0</v>
      </c>
      <c r="T75" s="822"/>
      <c r="U75" s="822"/>
      <c r="V75" s="822"/>
    </row>
    <row r="76" spans="1:22" ht="15">
      <c r="A76" s="1286"/>
      <c r="B76" s="846">
        <v>411000000</v>
      </c>
      <c r="C76" s="847" t="s">
        <v>401</v>
      </c>
      <c r="D76" s="848">
        <v>11118900.666999999</v>
      </c>
      <c r="E76" s="848">
        <v>377965.65499999997</v>
      </c>
      <c r="F76" s="848">
        <v>6090316.8709999993</v>
      </c>
      <c r="G76" s="848">
        <v>-5370.176999999996</v>
      </c>
      <c r="H76" s="848">
        <v>0</v>
      </c>
      <c r="I76" s="848">
        <v>17581813.015999995</v>
      </c>
      <c r="J76" s="848" t="s">
        <v>402</v>
      </c>
      <c r="K76" s="820">
        <v>6016233.0760000004</v>
      </c>
      <c r="L76" s="819">
        <v>11318481.93</v>
      </c>
      <c r="M76" s="819">
        <f t="shared" si="15"/>
        <v>12279564.161999997</v>
      </c>
      <c r="N76" s="807" t="s">
        <v>403</v>
      </c>
      <c r="O76" s="193" t="s">
        <v>162</v>
      </c>
      <c r="P76" s="822">
        <f>+D76-L76+G76+E76</f>
        <v>173014.21499999971</v>
      </c>
      <c r="Q76" s="822">
        <f>+F76+K76</f>
        <v>12106549.947000001</v>
      </c>
      <c r="R76" s="822"/>
      <c r="S76" s="821">
        <f t="shared" si="14"/>
        <v>0</v>
      </c>
      <c r="T76" s="822"/>
      <c r="U76" s="822"/>
      <c r="V76" s="822"/>
    </row>
    <row r="77" spans="1:22" ht="15">
      <c r="A77" s="1286"/>
      <c r="B77" s="849">
        <v>413000000</v>
      </c>
      <c r="C77" s="847" t="s">
        <v>2025</v>
      </c>
      <c r="D77" s="848"/>
      <c r="E77" s="848"/>
      <c r="F77" s="848"/>
      <c r="G77" s="848"/>
      <c r="H77" s="848"/>
      <c r="I77" s="848">
        <v>0</v>
      </c>
      <c r="J77" s="848"/>
      <c r="K77" s="819">
        <v>281807.00999999989</v>
      </c>
      <c r="L77" s="819">
        <v>0</v>
      </c>
      <c r="M77" s="819">
        <f t="shared" si="15"/>
        <v>281807.00999999989</v>
      </c>
      <c r="N77" s="807" t="s">
        <v>403</v>
      </c>
      <c r="O77" s="193" t="s">
        <v>162</v>
      </c>
      <c r="P77" s="822">
        <f>+K77</f>
        <v>281807.00999999989</v>
      </c>
      <c r="Q77" s="822"/>
      <c r="R77" s="822"/>
      <c r="S77" s="821">
        <f t="shared" si="14"/>
        <v>0</v>
      </c>
      <c r="T77" s="822"/>
      <c r="U77" s="822"/>
      <c r="V77" s="822"/>
    </row>
    <row r="78" spans="1:22" ht="15">
      <c r="A78" s="1286"/>
      <c r="B78" s="846">
        <v>413010000</v>
      </c>
      <c r="C78" s="847" t="s">
        <v>404</v>
      </c>
      <c r="D78" s="848">
        <v>0</v>
      </c>
      <c r="E78" s="848">
        <v>0</v>
      </c>
      <c r="F78" s="848">
        <v>679640.43700000015</v>
      </c>
      <c r="G78" s="848">
        <v>0</v>
      </c>
      <c r="H78" s="848">
        <v>0</v>
      </c>
      <c r="I78" s="848">
        <v>679640.43700000015</v>
      </c>
      <c r="J78" s="848" t="s">
        <v>402</v>
      </c>
      <c r="K78" s="819">
        <v>0</v>
      </c>
      <c r="L78" s="819">
        <v>0</v>
      </c>
      <c r="M78" s="819">
        <f t="shared" si="15"/>
        <v>679640.43700000015</v>
      </c>
      <c r="N78" s="807" t="s">
        <v>403</v>
      </c>
      <c r="O78" s="193" t="s">
        <v>162</v>
      </c>
      <c r="P78" s="822">
        <f>+D78</f>
        <v>0</v>
      </c>
      <c r="Q78" s="822">
        <f>+F78</f>
        <v>679640.43700000015</v>
      </c>
      <c r="R78" s="822"/>
      <c r="S78" s="821">
        <f t="shared" si="14"/>
        <v>0</v>
      </c>
      <c r="T78" s="822"/>
      <c r="U78" s="822"/>
      <c r="V78" s="822"/>
    </row>
    <row r="79" spans="1:22" ht="15">
      <c r="A79" s="1286"/>
      <c r="B79" s="846">
        <v>415000000</v>
      </c>
      <c r="C79" s="847" t="s">
        <v>405</v>
      </c>
      <c r="D79" s="848">
        <v>2080023.7269999995</v>
      </c>
      <c r="E79" s="848">
        <v>0</v>
      </c>
      <c r="F79" s="848">
        <v>0</v>
      </c>
      <c r="G79" s="848">
        <v>0</v>
      </c>
      <c r="H79" s="848">
        <v>0</v>
      </c>
      <c r="I79" s="848">
        <v>2080023.7269999995</v>
      </c>
      <c r="J79" s="848" t="s">
        <v>402</v>
      </c>
      <c r="K79" s="819">
        <v>0</v>
      </c>
      <c r="L79" s="819">
        <v>0</v>
      </c>
      <c r="M79" s="819">
        <f t="shared" si="15"/>
        <v>2080023.7269999995</v>
      </c>
      <c r="N79" s="807" t="s">
        <v>403</v>
      </c>
      <c r="O79" s="193" t="s">
        <v>162</v>
      </c>
      <c r="P79" s="822">
        <f t="shared" ref="P79:P81" si="17">+D79</f>
        <v>2080023.7269999995</v>
      </c>
      <c r="Q79" s="822">
        <f t="shared" ref="Q79:Q81" si="18">+F79</f>
        <v>0</v>
      </c>
      <c r="R79" s="822"/>
      <c r="S79" s="821">
        <f t="shared" si="14"/>
        <v>0</v>
      </c>
      <c r="T79" s="822"/>
      <c r="U79" s="822"/>
      <c r="V79" s="822"/>
    </row>
    <row r="80" spans="1:22" ht="15">
      <c r="A80" s="1286"/>
      <c r="B80" s="846">
        <v>416000000</v>
      </c>
      <c r="C80" s="847" t="s">
        <v>406</v>
      </c>
      <c r="D80" s="848">
        <v>0</v>
      </c>
      <c r="E80" s="848">
        <v>0</v>
      </c>
      <c r="F80" s="848">
        <v>380611.16300000012</v>
      </c>
      <c r="G80" s="848">
        <v>0</v>
      </c>
      <c r="H80" s="848">
        <v>0</v>
      </c>
      <c r="I80" s="848">
        <v>380611.16300000012</v>
      </c>
      <c r="J80" s="848" t="s">
        <v>402</v>
      </c>
      <c r="K80" s="819">
        <v>0</v>
      </c>
      <c r="L80" s="819">
        <v>0</v>
      </c>
      <c r="M80" s="819">
        <f t="shared" si="15"/>
        <v>380611.16300000012</v>
      </c>
      <c r="N80" s="807" t="s">
        <v>403</v>
      </c>
      <c r="O80" s="193" t="s">
        <v>162</v>
      </c>
      <c r="P80" s="822">
        <f t="shared" si="17"/>
        <v>0</v>
      </c>
      <c r="Q80" s="822">
        <f t="shared" si="18"/>
        <v>380611.16300000012</v>
      </c>
      <c r="R80" s="822"/>
      <c r="S80" s="821">
        <f t="shared" si="14"/>
        <v>0</v>
      </c>
      <c r="T80" s="822"/>
      <c r="U80" s="822"/>
      <c r="V80" s="822"/>
    </row>
    <row r="81" spans="1:22" ht="15">
      <c r="A81" s="1286"/>
      <c r="B81" s="846">
        <v>416010000</v>
      </c>
      <c r="C81" s="847" t="s">
        <v>407</v>
      </c>
      <c r="D81" s="848">
        <v>0</v>
      </c>
      <c r="E81" s="848">
        <v>0</v>
      </c>
      <c r="F81" s="848">
        <v>29878.600999999999</v>
      </c>
      <c r="G81" s="848">
        <v>0</v>
      </c>
      <c r="H81" s="848">
        <v>0</v>
      </c>
      <c r="I81" s="848">
        <v>29878.600999999999</v>
      </c>
      <c r="J81" s="848" t="s">
        <v>402</v>
      </c>
      <c r="K81" s="819">
        <v>0</v>
      </c>
      <c r="L81" s="819">
        <v>0</v>
      </c>
      <c r="M81" s="819">
        <f t="shared" si="15"/>
        <v>29878.600999999999</v>
      </c>
      <c r="N81" s="807" t="s">
        <v>403</v>
      </c>
      <c r="O81" s="193" t="s">
        <v>162</v>
      </c>
      <c r="P81" s="822">
        <f t="shared" si="17"/>
        <v>0</v>
      </c>
      <c r="Q81" s="822">
        <f t="shared" si="18"/>
        <v>29878.600999999999</v>
      </c>
      <c r="R81" s="822"/>
      <c r="S81" s="821">
        <f t="shared" si="14"/>
        <v>0</v>
      </c>
      <c r="T81" s="822"/>
      <c r="U81" s="822"/>
      <c r="V81" s="822"/>
    </row>
    <row r="82" spans="1:22" ht="15">
      <c r="A82" s="1286"/>
      <c r="B82" s="846">
        <v>491000000</v>
      </c>
      <c r="C82" s="847" t="s">
        <v>410</v>
      </c>
      <c r="D82" s="848">
        <v>-457129.15</v>
      </c>
      <c r="E82" s="848">
        <v>0</v>
      </c>
      <c r="F82" s="848">
        <v>-700995.02800000005</v>
      </c>
      <c r="G82" s="848">
        <v>0</v>
      </c>
      <c r="H82" s="848">
        <v>0</v>
      </c>
      <c r="I82" s="848">
        <v>-1158124.1780000001</v>
      </c>
      <c r="J82" s="848" t="s">
        <v>411</v>
      </c>
      <c r="K82" s="819">
        <v>0</v>
      </c>
      <c r="L82" s="819">
        <v>0</v>
      </c>
      <c r="M82" s="819">
        <f t="shared" si="15"/>
        <v>-1158124.1780000001</v>
      </c>
      <c r="N82" s="807" t="s">
        <v>403</v>
      </c>
      <c r="O82" s="193" t="s">
        <v>162</v>
      </c>
      <c r="P82" s="822">
        <f t="shared" ref="P82" si="19">+D82</f>
        <v>-457129.15</v>
      </c>
      <c r="Q82" s="822">
        <f t="shared" ref="Q82" si="20">+F82</f>
        <v>-700995.02800000005</v>
      </c>
      <c r="R82" s="822"/>
      <c r="S82" s="821">
        <f t="shared" si="14"/>
        <v>0</v>
      </c>
      <c r="T82" s="822"/>
      <c r="U82" s="822"/>
      <c r="V82" s="822"/>
    </row>
    <row r="83" spans="1:22" ht="15">
      <c r="A83" s="1286"/>
      <c r="B83" s="849">
        <v>532000000</v>
      </c>
      <c r="C83" s="847" t="s">
        <v>413</v>
      </c>
      <c r="D83" s="848">
        <v>0</v>
      </c>
      <c r="E83" s="848">
        <v>0</v>
      </c>
      <c r="F83" s="848">
        <v>5989824.7240000013</v>
      </c>
      <c r="G83" s="848">
        <v>0</v>
      </c>
      <c r="H83" s="848">
        <v>0</v>
      </c>
      <c r="I83" s="848">
        <v>5989824.7240000013</v>
      </c>
      <c r="J83" s="848" t="s">
        <v>414</v>
      </c>
      <c r="K83" s="819">
        <v>3667781.76</v>
      </c>
      <c r="L83" s="820">
        <v>5989824.7240000004</v>
      </c>
      <c r="M83" s="819">
        <f t="shared" si="15"/>
        <v>3667781.7600000007</v>
      </c>
      <c r="N83" s="807" t="s">
        <v>403</v>
      </c>
      <c r="O83" s="193" t="s">
        <v>162</v>
      </c>
      <c r="P83" s="822"/>
      <c r="Q83" s="822">
        <f>+K83+F83-L83</f>
        <v>3667781.7600000007</v>
      </c>
      <c r="R83" s="822"/>
      <c r="S83" s="821">
        <f t="shared" si="14"/>
        <v>0</v>
      </c>
      <c r="T83" s="822"/>
      <c r="U83" s="822"/>
      <c r="V83" s="822"/>
    </row>
    <row r="84" spans="1:22" ht="15">
      <c r="B84" s="846">
        <v>590000000</v>
      </c>
      <c r="C84" s="847" t="s">
        <v>415</v>
      </c>
      <c r="D84" s="848">
        <v>0</v>
      </c>
      <c r="E84" s="848">
        <v>0</v>
      </c>
      <c r="F84" s="848">
        <v>-11728.883</v>
      </c>
      <c r="G84" s="848">
        <v>0</v>
      </c>
      <c r="H84" s="848">
        <v>0</v>
      </c>
      <c r="I84" s="848">
        <v>-11728.883</v>
      </c>
      <c r="J84" s="850" t="s">
        <v>416</v>
      </c>
      <c r="K84" s="819">
        <v>0</v>
      </c>
      <c r="L84" s="819">
        <v>0</v>
      </c>
      <c r="M84" s="819">
        <f t="shared" si="15"/>
        <v>-11728.883</v>
      </c>
      <c r="N84" s="807" t="s">
        <v>403</v>
      </c>
      <c r="O84" s="193" t="s">
        <v>162</v>
      </c>
      <c r="P84" s="822"/>
      <c r="Q84" s="822">
        <f>+F84</f>
        <v>-11728.883</v>
      </c>
      <c r="R84" s="822"/>
      <c r="S84" s="821">
        <f t="shared" si="14"/>
        <v>0</v>
      </c>
      <c r="T84" s="822"/>
      <c r="U84" s="822"/>
      <c r="V84" s="822"/>
    </row>
    <row r="85" spans="1:22">
      <c r="P85" s="822"/>
      <c r="Q85" s="822"/>
      <c r="R85" s="822"/>
      <c r="S85" s="822"/>
      <c r="T85" s="822"/>
      <c r="U85" s="822"/>
      <c r="V85" s="822"/>
    </row>
    <row r="86" spans="1:22">
      <c r="O86" s="184" t="s">
        <v>162</v>
      </c>
      <c r="P86" s="821">
        <f>SUM(P76:P84)</f>
        <v>2077715.8019999992</v>
      </c>
      <c r="Q86" s="821">
        <f>SUM(Q76:Q84)</f>
        <v>16151737.997000003</v>
      </c>
      <c r="R86" s="821">
        <f>SUM(R76:R84)</f>
        <v>0</v>
      </c>
      <c r="S86" s="823">
        <f>SUM(P86:R86)</f>
        <v>18229453.799000002</v>
      </c>
      <c r="T86" s="822">
        <f>+'5.1 Corp. liquidity - WC Br DEC'!O45</f>
        <v>3.3102</v>
      </c>
      <c r="U86" s="822">
        <f>+P86/$T$86</f>
        <v>627670.77578394033</v>
      </c>
      <c r="V86" s="822">
        <f>+Q86/$T$86</f>
        <v>4879384.3263246939</v>
      </c>
    </row>
    <row r="87" spans="1:22">
      <c r="O87" s="184" t="s">
        <v>172</v>
      </c>
      <c r="P87" s="821">
        <f>SUM(P63:P71)</f>
        <v>16809096.530000001</v>
      </c>
      <c r="Q87" s="821">
        <f>SUM(Q63:Q71)</f>
        <v>2471775.0641666665</v>
      </c>
      <c r="R87" s="821">
        <f>SUM(R63:R71)</f>
        <v>0</v>
      </c>
      <c r="S87" s="823">
        <f>SUM(P87:R87)</f>
        <v>19280871.594166666</v>
      </c>
      <c r="T87" s="822"/>
      <c r="U87" s="822">
        <f t="shared" ref="U87:V88" si="21">+P87/$T$86</f>
        <v>5077970.0712947864</v>
      </c>
      <c r="V87" s="822">
        <f t="shared" si="21"/>
        <v>746714.71940265433</v>
      </c>
    </row>
    <row r="88" spans="1:22">
      <c r="O88" s="184" t="s">
        <v>164</v>
      </c>
      <c r="P88" s="821">
        <f>SUM(P72:P75)</f>
        <v>-7016965.8849999933</v>
      </c>
      <c r="Q88" s="821">
        <f>SUM(Q72:Q75)</f>
        <v>-140066.87899999134</v>
      </c>
      <c r="R88" s="821">
        <f>SUM(R72:R75)</f>
        <v>0</v>
      </c>
      <c r="S88" s="823">
        <f>SUM(P88:R88)</f>
        <v>-7157032.7639999846</v>
      </c>
      <c r="T88" s="822"/>
      <c r="U88" s="822">
        <f t="shared" si="21"/>
        <v>-2119801.1857289569</v>
      </c>
      <c r="V88" s="822">
        <f t="shared" si="21"/>
        <v>-42313.720923204441</v>
      </c>
    </row>
    <row r="89" spans="1:22">
      <c r="O89" s="194" t="s">
        <v>423</v>
      </c>
      <c r="P89" s="823">
        <f>SUM(P86:P88)</f>
        <v>11869846.447000008</v>
      </c>
      <c r="Q89" s="823">
        <f>SUM(Q86:Q88)</f>
        <v>18483446.182166681</v>
      </c>
      <c r="R89" s="823">
        <f>SUM(R86:R88)</f>
        <v>0</v>
      </c>
      <c r="S89" s="824">
        <f>SUM(S86:S88)</f>
        <v>30353292.629166685</v>
      </c>
      <c r="T89" s="822"/>
      <c r="U89" s="822"/>
      <c r="V89" s="822"/>
    </row>
    <row r="92" spans="1:22">
      <c r="D92" s="827">
        <v>44805</v>
      </c>
    </row>
    <row r="94" spans="1:22">
      <c r="B94" s="185">
        <v>311000000</v>
      </c>
      <c r="C94" s="186" t="s">
        <v>382</v>
      </c>
      <c r="D94" s="187">
        <v>9250837.4030000009</v>
      </c>
      <c r="E94" s="188" t="s">
        <v>384</v>
      </c>
      <c r="F94" s="804" t="b">
        <f>B94=G94</f>
        <v>1</v>
      </c>
      <c r="G94" s="805">
        <v>311000000</v>
      </c>
      <c r="H94" s="806" t="s">
        <v>382</v>
      </c>
      <c r="I94" s="819">
        <v>11069380.784</v>
      </c>
      <c r="J94" s="807" t="s">
        <v>384</v>
      </c>
    </row>
    <row r="95" spans="1:22">
      <c r="F95" s="804" t="b">
        <f t="shared" ref="F95:F117" si="22">B95=G95</f>
        <v>0</v>
      </c>
      <c r="G95" s="805">
        <v>320000000</v>
      </c>
      <c r="H95" s="806" t="s">
        <v>2023</v>
      </c>
      <c r="I95" s="819">
        <v>148000</v>
      </c>
      <c r="J95" s="807" t="s">
        <v>384</v>
      </c>
    </row>
    <row r="96" spans="1:22">
      <c r="B96" s="185">
        <v>321000000</v>
      </c>
      <c r="C96" s="186" t="s">
        <v>385</v>
      </c>
      <c r="D96" s="187">
        <v>75751.298999999999</v>
      </c>
      <c r="E96" s="189" t="s">
        <v>384</v>
      </c>
      <c r="F96" s="804" t="b">
        <f t="shared" si="22"/>
        <v>1</v>
      </c>
      <c r="G96" s="805">
        <v>321000000</v>
      </c>
      <c r="H96" s="806" t="s">
        <v>385</v>
      </c>
      <c r="I96" s="819">
        <v>75751.298999999999</v>
      </c>
      <c r="J96" s="807" t="s">
        <v>384</v>
      </c>
    </row>
    <row r="97" spans="2:10">
      <c r="B97" s="185">
        <v>322000000</v>
      </c>
      <c r="C97" s="186" t="s">
        <v>386</v>
      </c>
      <c r="D97" s="187">
        <v>789345.29200000002</v>
      </c>
      <c r="E97" s="189" t="s">
        <v>388</v>
      </c>
      <c r="F97" s="804" t="b">
        <f t="shared" si="22"/>
        <v>1</v>
      </c>
      <c r="G97" s="805">
        <v>322000000</v>
      </c>
      <c r="H97" s="806" t="s">
        <v>386</v>
      </c>
      <c r="I97" s="819">
        <v>583630.65099999995</v>
      </c>
      <c r="J97" s="807" t="s">
        <v>388</v>
      </c>
    </row>
    <row r="98" spans="2:10">
      <c r="B98" s="185">
        <v>331000000</v>
      </c>
      <c r="C98" s="186" t="s">
        <v>387</v>
      </c>
      <c r="D98" s="187">
        <v>1529907.973</v>
      </c>
      <c r="E98" s="189" t="s">
        <v>388</v>
      </c>
      <c r="F98" s="804" t="b">
        <f t="shared" si="22"/>
        <v>1</v>
      </c>
      <c r="G98" s="805">
        <v>331000000</v>
      </c>
      <c r="H98" s="806" t="s">
        <v>387</v>
      </c>
      <c r="I98" s="819">
        <v>1140754.9080000001</v>
      </c>
      <c r="J98" s="807" t="s">
        <v>388</v>
      </c>
    </row>
    <row r="99" spans="2:10">
      <c r="B99" s="185">
        <v>355000000</v>
      </c>
      <c r="C99" s="186" t="s">
        <v>389</v>
      </c>
      <c r="D99" s="187">
        <v>3820711.844</v>
      </c>
      <c r="E99" s="189" t="s">
        <v>396</v>
      </c>
      <c r="F99" s="804" t="b">
        <f t="shared" si="22"/>
        <v>1</v>
      </c>
      <c r="G99" s="805">
        <v>355000000</v>
      </c>
      <c r="H99" s="806" t="s">
        <v>389</v>
      </c>
      <c r="I99" s="819">
        <v>3851747.0070000007</v>
      </c>
      <c r="J99" s="807" t="s">
        <v>396</v>
      </c>
    </row>
    <row r="100" spans="2:10">
      <c r="B100" s="185">
        <v>370000000</v>
      </c>
      <c r="C100" s="186" t="s">
        <v>390</v>
      </c>
      <c r="D100" s="187">
        <v>2077549.1574999997</v>
      </c>
      <c r="E100" s="188" t="s">
        <v>396</v>
      </c>
      <c r="F100" s="804" t="b">
        <f t="shared" si="22"/>
        <v>1</v>
      </c>
      <c r="G100" s="805">
        <v>370000000</v>
      </c>
      <c r="H100" s="806" t="s">
        <v>390</v>
      </c>
      <c r="I100" s="819">
        <v>2471775.0641666665</v>
      </c>
      <c r="J100" s="807" t="s">
        <v>2024</v>
      </c>
    </row>
    <row r="101" spans="2:10">
      <c r="B101" s="185">
        <v>390000000</v>
      </c>
      <c r="C101" s="186" t="s">
        <v>391</v>
      </c>
      <c r="D101" s="187">
        <v>-60168.118999999999</v>
      </c>
      <c r="E101" s="188" t="s">
        <v>384</v>
      </c>
      <c r="F101" s="804" t="b">
        <f t="shared" si="22"/>
        <v>1</v>
      </c>
      <c r="G101" s="805">
        <v>390000000</v>
      </c>
      <c r="H101" s="806" t="s">
        <v>391</v>
      </c>
      <c r="I101" s="819">
        <v>-60168.118999999999</v>
      </c>
      <c r="J101" s="807" t="s">
        <v>384</v>
      </c>
    </row>
    <row r="102" spans="2:10">
      <c r="B102" s="185">
        <v>401000000</v>
      </c>
      <c r="C102" s="186" t="s">
        <v>393</v>
      </c>
      <c r="D102" s="187">
        <v>-79174.906000001356</v>
      </c>
      <c r="E102" s="189" t="s">
        <v>397</v>
      </c>
      <c r="F102" s="804" t="b">
        <f t="shared" si="22"/>
        <v>1</v>
      </c>
      <c r="G102" s="805">
        <v>401000000</v>
      </c>
      <c r="H102" s="806" t="s">
        <v>393</v>
      </c>
      <c r="I102" s="819">
        <v>-3976342.1689999849</v>
      </c>
      <c r="J102" s="807" t="s">
        <v>397</v>
      </c>
    </row>
    <row r="103" spans="2:10">
      <c r="B103" s="185">
        <v>403000000</v>
      </c>
      <c r="C103" s="186" t="s">
        <v>395</v>
      </c>
      <c r="D103" s="187">
        <v>-613367.50199999998</v>
      </c>
      <c r="E103" s="189" t="s">
        <v>397</v>
      </c>
      <c r="F103" s="804" t="b">
        <f t="shared" si="22"/>
        <v>1</v>
      </c>
      <c r="G103" s="805">
        <v>403000000</v>
      </c>
      <c r="H103" s="806" t="s">
        <v>395</v>
      </c>
      <c r="I103" s="819">
        <v>-679754.2569999994</v>
      </c>
      <c r="J103" s="807" t="s">
        <v>397</v>
      </c>
    </row>
    <row r="104" spans="2:10">
      <c r="B104" s="185">
        <v>404700000</v>
      </c>
      <c r="C104" s="186" t="s">
        <v>398</v>
      </c>
      <c r="D104" s="187">
        <v>-475537</v>
      </c>
      <c r="E104" s="189" t="s">
        <v>397</v>
      </c>
      <c r="F104" s="804" t="b">
        <f t="shared" si="22"/>
        <v>0</v>
      </c>
    </row>
    <row r="105" spans="2:10">
      <c r="B105" s="185">
        <v>406000000</v>
      </c>
      <c r="C105" s="186" t="s">
        <v>399</v>
      </c>
      <c r="D105" s="187">
        <v>-1898733.9469999999</v>
      </c>
      <c r="E105" s="189" t="s">
        <v>397</v>
      </c>
      <c r="F105" s="804" t="b">
        <f t="shared" si="22"/>
        <v>1</v>
      </c>
      <c r="G105" s="805">
        <v>406000000</v>
      </c>
      <c r="H105" s="806" t="s">
        <v>399</v>
      </c>
      <c r="I105" s="819">
        <v>-2172555.6070000008</v>
      </c>
      <c r="J105" s="807" t="s">
        <v>397</v>
      </c>
    </row>
    <row r="106" spans="2:10">
      <c r="B106" s="185">
        <v>408000000</v>
      </c>
      <c r="C106" s="186" t="s">
        <v>400</v>
      </c>
      <c r="D106" s="187">
        <v>-4980</v>
      </c>
      <c r="E106" s="189" t="s">
        <v>397</v>
      </c>
      <c r="F106" s="804" t="b">
        <f t="shared" si="22"/>
        <v>1</v>
      </c>
      <c r="G106" s="805">
        <v>408000000</v>
      </c>
      <c r="H106" s="806" t="s">
        <v>400</v>
      </c>
      <c r="I106" s="819">
        <v>-4980</v>
      </c>
      <c r="J106" s="807" t="s">
        <v>397</v>
      </c>
    </row>
    <row r="107" spans="2:10">
      <c r="B107" s="185">
        <v>411000000</v>
      </c>
      <c r="C107" s="186" t="s">
        <v>401</v>
      </c>
      <c r="D107" s="187">
        <v>10529296.677000016</v>
      </c>
      <c r="E107" s="189" t="s">
        <v>403</v>
      </c>
      <c r="F107" s="804" t="b">
        <f t="shared" si="22"/>
        <v>1</v>
      </c>
      <c r="G107" s="805">
        <v>411000000</v>
      </c>
      <c r="H107" s="806" t="s">
        <v>401</v>
      </c>
      <c r="I107" s="819">
        <v>12279564.161999997</v>
      </c>
      <c r="J107" s="807" t="s">
        <v>403</v>
      </c>
    </row>
    <row r="108" spans="2:10">
      <c r="F108" s="804" t="b">
        <f t="shared" si="22"/>
        <v>0</v>
      </c>
      <c r="G108" s="808">
        <v>413000000</v>
      </c>
      <c r="H108" s="806" t="s">
        <v>2025</v>
      </c>
      <c r="I108" s="819">
        <v>281807.00999999989</v>
      </c>
      <c r="J108" s="807" t="s">
        <v>403</v>
      </c>
    </row>
    <row r="109" spans="2:10">
      <c r="B109" s="185">
        <v>413010000</v>
      </c>
      <c r="C109" s="186" t="s">
        <v>404</v>
      </c>
      <c r="D109" s="187">
        <v>384105.70400000003</v>
      </c>
      <c r="E109" s="189" t="s">
        <v>403</v>
      </c>
      <c r="F109" s="804" t="b">
        <f t="shared" si="22"/>
        <v>1</v>
      </c>
      <c r="G109" s="805">
        <v>413010000</v>
      </c>
      <c r="H109" s="806" t="s">
        <v>404</v>
      </c>
      <c r="I109" s="819">
        <v>679640.43700000015</v>
      </c>
      <c r="J109" s="807" t="s">
        <v>403</v>
      </c>
    </row>
    <row r="110" spans="2:10">
      <c r="B110" s="185">
        <v>415000000</v>
      </c>
      <c r="C110" s="186" t="s">
        <v>405</v>
      </c>
      <c r="D110" s="187">
        <v>3060066.7749999999</v>
      </c>
      <c r="E110" s="189" t="s">
        <v>403</v>
      </c>
      <c r="F110" s="804" t="b">
        <f t="shared" si="22"/>
        <v>1</v>
      </c>
      <c r="G110" s="805">
        <v>415000000</v>
      </c>
      <c r="H110" s="806" t="s">
        <v>405</v>
      </c>
      <c r="I110" s="819">
        <v>2080023.7269999995</v>
      </c>
      <c r="J110" s="807" t="s">
        <v>403</v>
      </c>
    </row>
    <row r="111" spans="2:10">
      <c r="B111" s="185">
        <v>416000000</v>
      </c>
      <c r="C111" s="186" t="s">
        <v>406</v>
      </c>
      <c r="D111" s="187">
        <v>338176.68400000001</v>
      </c>
      <c r="E111" s="189" t="s">
        <v>403</v>
      </c>
      <c r="F111" s="804" t="b">
        <f t="shared" si="22"/>
        <v>1</v>
      </c>
      <c r="G111" s="805">
        <v>416000000</v>
      </c>
      <c r="H111" s="806" t="s">
        <v>406</v>
      </c>
      <c r="I111" s="819">
        <v>380611.16300000012</v>
      </c>
      <c r="J111" s="807" t="s">
        <v>403</v>
      </c>
    </row>
    <row r="112" spans="2:10">
      <c r="B112" s="185">
        <v>416010000</v>
      </c>
      <c r="C112" s="186" t="s">
        <v>407</v>
      </c>
      <c r="D112" s="187">
        <v>29878.600999999999</v>
      </c>
      <c r="E112" s="189" t="s">
        <v>403</v>
      </c>
      <c r="F112" s="804" t="b">
        <f t="shared" si="22"/>
        <v>1</v>
      </c>
      <c r="G112" s="805">
        <v>416010000</v>
      </c>
      <c r="H112" s="806" t="s">
        <v>407</v>
      </c>
      <c r="I112" s="819">
        <v>29878.600999999999</v>
      </c>
      <c r="J112" s="807" t="s">
        <v>403</v>
      </c>
    </row>
    <row r="113" spans="2:10">
      <c r="B113" s="185">
        <v>490000000</v>
      </c>
      <c r="C113" s="186" t="s">
        <v>408</v>
      </c>
      <c r="D113" s="187">
        <v>-7169.9709999999995</v>
      </c>
      <c r="E113" s="189" t="s">
        <v>403</v>
      </c>
      <c r="F113" s="804" t="b">
        <f t="shared" si="22"/>
        <v>0</v>
      </c>
    </row>
    <row r="114" spans="2:10">
      <c r="B114" s="185">
        <v>491000000</v>
      </c>
      <c r="C114" s="186" t="s">
        <v>410</v>
      </c>
      <c r="D114" s="187">
        <v>-1127872.0890000002</v>
      </c>
      <c r="E114" s="189" t="s">
        <v>403</v>
      </c>
      <c r="F114" s="804" t="b">
        <f t="shared" si="22"/>
        <v>1</v>
      </c>
      <c r="G114" s="805">
        <v>491000000</v>
      </c>
      <c r="H114" s="806" t="s">
        <v>410</v>
      </c>
      <c r="I114" s="819">
        <v>-1158124.1780000001</v>
      </c>
      <c r="J114" s="807" t="s">
        <v>403</v>
      </c>
    </row>
    <row r="115" spans="2:10">
      <c r="B115" s="185">
        <v>496000000</v>
      </c>
      <c r="C115" s="186" t="s">
        <v>412</v>
      </c>
      <c r="D115" s="187">
        <v>-230873.315</v>
      </c>
      <c r="E115" s="189" t="s">
        <v>403</v>
      </c>
      <c r="F115" s="804" t="b">
        <f t="shared" si="22"/>
        <v>0</v>
      </c>
    </row>
    <row r="116" spans="2:10">
      <c r="B116" s="185">
        <v>532000000</v>
      </c>
      <c r="C116" s="186" t="s">
        <v>413</v>
      </c>
      <c r="D116" s="187">
        <v>6229982.8999999994</v>
      </c>
      <c r="E116" s="191" t="s">
        <v>403</v>
      </c>
      <c r="F116" s="804" t="b">
        <f t="shared" si="22"/>
        <v>1</v>
      </c>
      <c r="G116" s="808">
        <v>532000000</v>
      </c>
      <c r="H116" s="806" t="s">
        <v>413</v>
      </c>
      <c r="I116" s="819">
        <v>3667781.7600000007</v>
      </c>
      <c r="J116" s="807" t="s">
        <v>403</v>
      </c>
    </row>
    <row r="117" spans="2:10">
      <c r="B117" s="185">
        <v>590000000</v>
      </c>
      <c r="C117" s="186" t="s">
        <v>415</v>
      </c>
      <c r="D117" s="187">
        <v>-11728.883</v>
      </c>
      <c r="E117" s="191" t="s">
        <v>403</v>
      </c>
      <c r="F117" s="804" t="b">
        <f t="shared" si="22"/>
        <v>1</v>
      </c>
      <c r="G117" s="805">
        <v>590000000</v>
      </c>
      <c r="H117" s="806" t="s">
        <v>415</v>
      </c>
      <c r="I117" s="819">
        <v>-11728.883</v>
      </c>
      <c r="J117" s="807" t="s">
        <v>403</v>
      </c>
    </row>
  </sheetData>
  <autoFilter ref="B33:N55" xr:uid="{1A01A527-4D88-4390-8F86-B6D628B21B9B}"/>
  <mergeCells count="3">
    <mergeCell ref="A1:A29"/>
    <mergeCell ref="A33:A53"/>
    <mergeCell ref="A63:A83"/>
  </mergeCells>
  <pageMargins left="0.7" right="0.7" top="0.75" bottom="0.75" header="0.3" footer="0.3"/>
  <legacy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32FCDE-91DD-49D6-96CB-ECBD19142145}">
  <dimension ref="A2:V59"/>
  <sheetViews>
    <sheetView showGridLines="0" tabSelected="1" topLeftCell="A35" zoomScale="90" zoomScaleNormal="90" workbookViewId="0">
      <selection activeCell="C47" sqref="C47"/>
    </sheetView>
  </sheetViews>
  <sheetFormatPr baseColWidth="10" defaultColWidth="7.875" defaultRowHeight="12.75"/>
  <cols>
    <col min="1" max="1" width="7.875" style="108"/>
    <col min="2" max="2" width="16.5" style="108" customWidth="1"/>
    <col min="3" max="5" width="9" style="108" bestFit="1" customWidth="1"/>
    <col min="6" max="7" width="8" style="108" bestFit="1" customWidth="1"/>
    <col min="8" max="8" width="7.875" style="108"/>
    <col min="9" max="9" width="3.125" style="108" customWidth="1"/>
    <col min="10" max="10" width="7.875" style="108"/>
    <col min="11" max="11" width="9.5" style="108" bestFit="1" customWidth="1"/>
    <col min="12" max="12" width="10.625" style="108" bestFit="1" customWidth="1"/>
    <col min="13" max="13" width="9.5" style="108" bestFit="1" customWidth="1"/>
    <col min="14" max="20" width="7.875" style="108"/>
    <col min="21" max="21" width="9.25" style="108" bestFit="1" customWidth="1"/>
    <col min="22" max="16384" width="7.875" style="108"/>
  </cols>
  <sheetData>
    <row r="2" spans="1:17" ht="19.5" thickBot="1">
      <c r="B2" s="107" t="str">
        <f>[79]RO_table!B25</f>
        <v>Corporate liquidity| Working capital Bridge and structure per SBU</v>
      </c>
    </row>
    <row r="3" spans="1:17" ht="13.5" thickBot="1">
      <c r="A3" s="417"/>
      <c r="B3" s="418"/>
      <c r="C3" s="418"/>
      <c r="D3" s="418"/>
      <c r="E3" s="418"/>
      <c r="F3" s="418"/>
      <c r="G3" s="418"/>
      <c r="H3" s="418"/>
      <c r="I3" s="418"/>
      <c r="J3" s="418"/>
      <c r="K3" s="418"/>
      <c r="L3" s="418"/>
      <c r="M3" s="418"/>
      <c r="N3" s="418"/>
      <c r="O3" s="418"/>
      <c r="P3" s="418"/>
      <c r="Q3" s="419"/>
    </row>
    <row r="4" spans="1:17">
      <c r="A4" s="420"/>
      <c r="B4" s="109"/>
      <c r="C4" s="110"/>
      <c r="D4" s="110"/>
      <c r="E4" s="110"/>
      <c r="F4" s="110"/>
      <c r="G4" s="110"/>
      <c r="H4" s="110"/>
      <c r="I4" s="110"/>
      <c r="J4" s="110"/>
      <c r="K4" s="110"/>
      <c r="L4" s="110"/>
      <c r="M4" s="110"/>
      <c r="N4" s="110"/>
      <c r="O4" s="110"/>
      <c r="P4" s="111"/>
      <c r="Q4" s="421"/>
    </row>
    <row r="5" spans="1:17">
      <c r="A5" s="420"/>
      <c r="B5" s="112"/>
      <c r="C5" s="125"/>
      <c r="D5" s="125"/>
      <c r="E5" s="125"/>
      <c r="F5" s="125"/>
      <c r="G5" s="125"/>
      <c r="H5" s="125"/>
      <c r="I5" s="125"/>
      <c r="J5" s="125"/>
      <c r="K5" s="125"/>
      <c r="L5" s="125"/>
      <c r="M5" s="125"/>
      <c r="N5" s="125"/>
      <c r="O5" s="125"/>
      <c r="P5" s="113"/>
      <c r="Q5" s="421"/>
    </row>
    <row r="6" spans="1:17">
      <c r="A6" s="420"/>
      <c r="B6" s="112"/>
      <c r="C6" s="125"/>
      <c r="D6" s="125"/>
      <c r="E6" s="125"/>
      <c r="F6" s="125"/>
      <c r="G6" s="125"/>
      <c r="H6" s="125"/>
      <c r="I6" s="125"/>
      <c r="J6" s="125"/>
      <c r="K6" s="125"/>
      <c r="L6" s="125"/>
      <c r="M6" s="125"/>
      <c r="N6" s="125"/>
      <c r="O6" s="125"/>
      <c r="P6" s="113"/>
      <c r="Q6" s="421"/>
    </row>
    <row r="7" spans="1:17">
      <c r="A7" s="420"/>
      <c r="B7" s="112"/>
      <c r="C7" s="125"/>
      <c r="D7" s="125"/>
      <c r="E7" s="125"/>
      <c r="F7" s="125"/>
      <c r="G7" s="125"/>
      <c r="H7" s="125"/>
      <c r="I7" s="125"/>
      <c r="J7" s="125"/>
      <c r="K7" s="125"/>
      <c r="L7" s="125"/>
      <c r="M7" s="125"/>
      <c r="N7" s="125"/>
      <c r="O7" s="125"/>
      <c r="P7" s="113"/>
      <c r="Q7" s="421"/>
    </row>
    <row r="8" spans="1:17">
      <c r="A8" s="420"/>
      <c r="B8" s="112"/>
      <c r="C8" s="125"/>
      <c r="D8" s="125"/>
      <c r="E8" s="125"/>
      <c r="F8" s="125"/>
      <c r="G8" s="125"/>
      <c r="H8" s="125"/>
      <c r="I8" s="125"/>
      <c r="J8" s="125"/>
      <c r="K8" s="125"/>
      <c r="L8" s="125"/>
      <c r="M8" s="125"/>
      <c r="N8" s="125"/>
      <c r="O8" s="125"/>
      <c r="P8" s="113"/>
      <c r="Q8" s="421"/>
    </row>
    <row r="9" spans="1:17">
      <c r="A9" s="420"/>
      <c r="B9" s="112"/>
      <c r="C9" s="125"/>
      <c r="D9" s="125"/>
      <c r="E9" s="125"/>
      <c r="F9" s="125"/>
      <c r="G9" s="125"/>
      <c r="H9" s="125"/>
      <c r="I9" s="125"/>
      <c r="J9" s="125"/>
      <c r="K9" s="125"/>
      <c r="L9" s="125"/>
      <c r="M9" s="125"/>
      <c r="N9" s="125"/>
      <c r="O9" s="125"/>
      <c r="P9" s="113"/>
      <c r="Q9" s="421"/>
    </row>
    <row r="10" spans="1:17">
      <c r="A10" s="420"/>
      <c r="B10" s="112"/>
      <c r="C10" s="125"/>
      <c r="D10" s="125"/>
      <c r="E10" s="125"/>
      <c r="F10" s="125"/>
      <c r="G10" s="125"/>
      <c r="H10" s="125"/>
      <c r="I10" s="125"/>
      <c r="J10" s="125"/>
      <c r="K10" s="125"/>
      <c r="L10" s="125"/>
      <c r="M10" s="125"/>
      <c r="N10" s="125"/>
      <c r="O10" s="125"/>
      <c r="P10" s="113"/>
      <c r="Q10" s="421"/>
    </row>
    <row r="11" spans="1:17">
      <c r="A11" s="420"/>
      <c r="B11" s="112"/>
      <c r="C11" s="125"/>
      <c r="D11" s="125"/>
      <c r="E11" s="125"/>
      <c r="F11" s="125"/>
      <c r="G11" s="125"/>
      <c r="H11" s="125"/>
      <c r="I11" s="125"/>
      <c r="J11" s="125"/>
      <c r="K11" s="125"/>
      <c r="L11" s="125"/>
      <c r="M11" s="125"/>
      <c r="N11" s="125"/>
      <c r="O11" s="125"/>
      <c r="P11" s="113"/>
      <c r="Q11" s="421"/>
    </row>
    <row r="12" spans="1:17">
      <c r="A12" s="420"/>
      <c r="B12" s="112"/>
      <c r="C12" s="125"/>
      <c r="D12" s="125"/>
      <c r="E12" s="125"/>
      <c r="F12" s="125"/>
      <c r="G12" s="125"/>
      <c r="H12" s="125"/>
      <c r="I12" s="125"/>
      <c r="J12" s="125"/>
      <c r="K12" s="125"/>
      <c r="L12" s="125"/>
      <c r="M12" s="125"/>
      <c r="N12" s="125"/>
      <c r="O12" s="125"/>
      <c r="P12" s="113"/>
      <c r="Q12" s="421"/>
    </row>
    <row r="13" spans="1:17">
      <c r="A13" s="420"/>
      <c r="B13" s="112"/>
      <c r="C13" s="125"/>
      <c r="D13" s="125"/>
      <c r="E13" s="125"/>
      <c r="F13" s="125"/>
      <c r="G13" s="125"/>
      <c r="H13" s="125"/>
      <c r="I13" s="125"/>
      <c r="J13" s="125"/>
      <c r="K13" s="125"/>
      <c r="L13" s="125"/>
      <c r="M13" s="125"/>
      <c r="N13" s="125"/>
      <c r="O13" s="125"/>
      <c r="P13" s="113"/>
      <c r="Q13" s="421"/>
    </row>
    <row r="14" spans="1:17">
      <c r="A14" s="420"/>
      <c r="B14" s="112"/>
      <c r="C14" s="125"/>
      <c r="D14" s="125"/>
      <c r="E14" s="125"/>
      <c r="F14" s="125"/>
      <c r="G14" s="125"/>
      <c r="H14" s="125"/>
      <c r="I14" s="125"/>
      <c r="J14" s="125"/>
      <c r="K14" s="125"/>
      <c r="L14" s="125"/>
      <c r="M14" s="125"/>
      <c r="N14" s="125"/>
      <c r="O14" s="125"/>
      <c r="P14" s="113"/>
      <c r="Q14" s="421"/>
    </row>
    <row r="15" spans="1:17">
      <c r="A15" s="420"/>
      <c r="B15" s="112"/>
      <c r="C15" s="125"/>
      <c r="D15" s="125"/>
      <c r="E15" s="125"/>
      <c r="F15" s="125"/>
      <c r="G15" s="125"/>
      <c r="H15" s="125"/>
      <c r="I15" s="125"/>
      <c r="J15" s="125"/>
      <c r="K15" s="125"/>
      <c r="L15" s="125"/>
      <c r="M15" s="125"/>
      <c r="N15" s="125"/>
      <c r="O15" s="125"/>
      <c r="P15" s="113"/>
      <c r="Q15" s="421"/>
    </row>
    <row r="16" spans="1:17">
      <c r="A16" s="420"/>
      <c r="B16" s="112"/>
      <c r="C16" s="125"/>
      <c r="D16" s="125"/>
      <c r="E16" s="125"/>
      <c r="F16" s="125"/>
      <c r="G16" s="125"/>
      <c r="H16" s="125"/>
      <c r="I16" s="125"/>
      <c r="J16" s="125"/>
      <c r="K16" s="125"/>
      <c r="L16" s="125"/>
      <c r="M16" s="125"/>
      <c r="N16" s="125"/>
      <c r="O16" s="125"/>
      <c r="P16" s="113"/>
      <c r="Q16" s="421"/>
    </row>
    <row r="17" spans="1:17">
      <c r="A17" s="420"/>
      <c r="B17" s="112"/>
      <c r="C17" s="125"/>
      <c r="D17" s="125"/>
      <c r="E17" s="125"/>
      <c r="F17" s="125"/>
      <c r="G17" s="125"/>
      <c r="H17" s="125"/>
      <c r="I17" s="125"/>
      <c r="J17" s="125"/>
      <c r="K17" s="125"/>
      <c r="L17" s="125"/>
      <c r="M17" s="125"/>
      <c r="N17" s="125"/>
      <c r="O17" s="125"/>
      <c r="P17" s="113"/>
      <c r="Q17" s="421"/>
    </row>
    <row r="18" spans="1:17">
      <c r="A18" s="420"/>
      <c r="B18" s="112"/>
      <c r="C18" s="125"/>
      <c r="D18" s="125"/>
      <c r="E18" s="125"/>
      <c r="F18" s="125"/>
      <c r="G18" s="125"/>
      <c r="H18" s="125"/>
      <c r="I18" s="125"/>
      <c r="J18" s="125"/>
      <c r="K18" s="125"/>
      <c r="L18" s="125"/>
      <c r="M18" s="125"/>
      <c r="N18" s="125"/>
      <c r="O18" s="125"/>
      <c r="P18" s="113"/>
      <c r="Q18" s="421"/>
    </row>
    <row r="19" spans="1:17">
      <c r="A19" s="420"/>
      <c r="B19" s="112"/>
      <c r="C19" s="125"/>
      <c r="D19" s="125"/>
      <c r="E19" s="125"/>
      <c r="F19" s="125"/>
      <c r="G19" s="125"/>
      <c r="H19" s="125"/>
      <c r="I19" s="125"/>
      <c r="J19" s="125"/>
      <c r="K19" s="125"/>
      <c r="L19" s="125"/>
      <c r="M19" s="125"/>
      <c r="N19" s="125"/>
      <c r="O19" s="125"/>
      <c r="P19" s="113"/>
      <c r="Q19" s="421"/>
    </row>
    <row r="20" spans="1:17">
      <c r="A20" s="420"/>
      <c r="B20" s="112"/>
      <c r="C20" s="125"/>
      <c r="D20" s="125"/>
      <c r="E20" s="125"/>
      <c r="F20" s="125"/>
      <c r="G20" s="125"/>
      <c r="H20" s="125"/>
      <c r="I20" s="125"/>
      <c r="J20" s="125"/>
      <c r="K20" s="125"/>
      <c r="L20" s="125"/>
      <c r="M20" s="125"/>
      <c r="N20" s="125"/>
      <c r="O20" s="125"/>
      <c r="P20" s="113"/>
      <c r="Q20" s="421"/>
    </row>
    <row r="21" spans="1:17">
      <c r="A21" s="420"/>
      <c r="B21" s="112"/>
      <c r="C21" s="125"/>
      <c r="D21" s="125"/>
      <c r="E21" s="125"/>
      <c r="F21" s="125"/>
      <c r="G21" s="125"/>
      <c r="H21" s="125"/>
      <c r="I21" s="125"/>
      <c r="J21" s="125"/>
      <c r="K21" s="125"/>
      <c r="L21" s="125"/>
      <c r="M21" s="125"/>
      <c r="N21" s="125"/>
      <c r="O21" s="125"/>
      <c r="P21" s="113"/>
      <c r="Q21" s="421"/>
    </row>
    <row r="22" spans="1:17">
      <c r="A22" s="420"/>
      <c r="B22" s="112"/>
      <c r="C22" s="125"/>
      <c r="D22" s="125"/>
      <c r="E22" s="125"/>
      <c r="F22" s="125"/>
      <c r="G22" s="125"/>
      <c r="H22" s="125"/>
      <c r="I22" s="125"/>
      <c r="J22" s="125"/>
      <c r="K22" s="125"/>
      <c r="L22" s="125"/>
      <c r="M22" s="125"/>
      <c r="N22" s="125"/>
      <c r="O22" s="125"/>
      <c r="P22" s="113"/>
      <c r="Q22" s="421"/>
    </row>
    <row r="23" spans="1:17">
      <c r="A23" s="420"/>
      <c r="B23" s="112"/>
      <c r="C23" s="125"/>
      <c r="D23" s="125"/>
      <c r="E23" s="125"/>
      <c r="F23" s="125"/>
      <c r="G23" s="125"/>
      <c r="H23" s="125"/>
      <c r="I23" s="125"/>
      <c r="J23" s="125"/>
      <c r="K23" s="125"/>
      <c r="L23" s="125"/>
      <c r="M23" s="125"/>
      <c r="N23" s="125"/>
      <c r="O23" s="125"/>
      <c r="P23" s="113"/>
      <c r="Q23" s="421"/>
    </row>
    <row r="24" spans="1:17">
      <c r="A24" s="420"/>
      <c r="B24" s="112"/>
      <c r="C24" s="125"/>
      <c r="D24" s="125"/>
      <c r="E24" s="125"/>
      <c r="F24" s="125"/>
      <c r="G24" s="125"/>
      <c r="H24" s="125"/>
      <c r="I24" s="125"/>
      <c r="J24" s="125"/>
      <c r="K24" s="125"/>
      <c r="L24" s="125"/>
      <c r="M24" s="125"/>
      <c r="N24" s="125"/>
      <c r="O24" s="125"/>
      <c r="P24" s="113"/>
      <c r="Q24" s="421"/>
    </row>
    <row r="25" spans="1:17">
      <c r="A25" s="420"/>
      <c r="B25" s="112"/>
      <c r="C25" s="125"/>
      <c r="D25" s="125"/>
      <c r="E25" s="125"/>
      <c r="F25" s="125"/>
      <c r="G25" s="125"/>
      <c r="H25" s="125"/>
      <c r="I25" s="125"/>
      <c r="J25" s="125"/>
      <c r="K25" s="125"/>
      <c r="L25" s="125"/>
      <c r="M25" s="125"/>
      <c r="N25" s="125"/>
      <c r="O25" s="125"/>
      <c r="P25" s="113"/>
      <c r="Q25" s="421"/>
    </row>
    <row r="26" spans="1:17">
      <c r="A26" s="420"/>
      <c r="B26" s="112"/>
      <c r="C26" s="125"/>
      <c r="D26" s="125"/>
      <c r="E26" s="125"/>
      <c r="F26" s="125"/>
      <c r="G26" s="125"/>
      <c r="H26" s="125"/>
      <c r="I26" s="125"/>
      <c r="J26" s="125"/>
      <c r="K26" s="125"/>
      <c r="L26" s="125"/>
      <c r="M26" s="125"/>
      <c r="N26" s="125"/>
      <c r="O26" s="125"/>
      <c r="P26" s="113"/>
      <c r="Q26" s="421"/>
    </row>
    <row r="27" spans="1:17">
      <c r="A27" s="420"/>
      <c r="B27" s="112"/>
      <c r="C27" s="125"/>
      <c r="D27" s="125"/>
      <c r="E27" s="125"/>
      <c r="F27" s="125"/>
      <c r="G27" s="125"/>
      <c r="H27" s="125"/>
      <c r="I27" s="125"/>
      <c r="J27" s="125"/>
      <c r="K27" s="125"/>
      <c r="L27" s="125"/>
      <c r="M27" s="125"/>
      <c r="N27" s="125"/>
      <c r="O27" s="125"/>
      <c r="P27" s="113"/>
      <c r="Q27" s="421"/>
    </row>
    <row r="28" spans="1:17">
      <c r="A28" s="420"/>
      <c r="B28" s="112"/>
      <c r="C28" s="125"/>
      <c r="D28" s="125"/>
      <c r="E28" s="125"/>
      <c r="F28" s="125"/>
      <c r="G28" s="125"/>
      <c r="H28" s="125"/>
      <c r="I28" s="125"/>
      <c r="J28" s="125"/>
      <c r="K28" s="125"/>
      <c r="L28" s="125"/>
      <c r="M28" s="125"/>
      <c r="N28" s="125"/>
      <c r="O28" s="125"/>
      <c r="P28" s="113"/>
      <c r="Q28" s="421"/>
    </row>
    <row r="29" spans="1:17">
      <c r="A29" s="420"/>
      <c r="B29" s="112"/>
      <c r="C29" s="125"/>
      <c r="D29" s="125"/>
      <c r="E29" s="125"/>
      <c r="F29" s="125"/>
      <c r="G29" s="125"/>
      <c r="H29" s="125"/>
      <c r="I29" s="125"/>
      <c r="J29" s="125"/>
      <c r="K29" s="125"/>
      <c r="L29" s="125"/>
      <c r="M29" s="125"/>
      <c r="N29" s="125"/>
      <c r="O29" s="125"/>
      <c r="P29" s="113"/>
      <c r="Q29" s="421"/>
    </row>
    <row r="30" spans="1:17">
      <c r="A30" s="420"/>
      <c r="B30" s="112"/>
      <c r="C30" s="125"/>
      <c r="D30" s="125"/>
      <c r="E30" s="125"/>
      <c r="F30" s="125"/>
      <c r="G30" s="125"/>
      <c r="H30" s="125"/>
      <c r="I30" s="125"/>
      <c r="J30" s="125"/>
      <c r="K30" s="125"/>
      <c r="L30" s="125"/>
      <c r="M30" s="125"/>
      <c r="N30" s="125"/>
      <c r="O30" s="125"/>
      <c r="P30" s="113"/>
      <c r="Q30" s="421"/>
    </row>
    <row r="31" spans="1:17">
      <c r="A31" s="420"/>
      <c r="B31" s="112"/>
      <c r="C31" s="125"/>
      <c r="D31" s="125"/>
      <c r="E31" s="125"/>
      <c r="F31" s="125"/>
      <c r="G31" s="125"/>
      <c r="H31" s="125"/>
      <c r="I31" s="125"/>
      <c r="J31" s="125"/>
      <c r="K31" s="125"/>
      <c r="L31" s="125"/>
      <c r="M31" s="125"/>
      <c r="N31" s="125"/>
      <c r="O31" s="125"/>
      <c r="P31" s="113"/>
      <c r="Q31" s="421"/>
    </row>
    <row r="32" spans="1:17">
      <c r="A32" s="420"/>
      <c r="B32" s="112"/>
      <c r="C32" s="125"/>
      <c r="D32" s="125"/>
      <c r="E32" s="125"/>
      <c r="F32" s="125"/>
      <c r="G32" s="125"/>
      <c r="H32" s="125"/>
      <c r="I32" s="125"/>
      <c r="J32" s="125"/>
      <c r="K32" s="125"/>
      <c r="L32" s="125"/>
      <c r="M32" s="125"/>
      <c r="N32" s="125"/>
      <c r="O32" s="125"/>
      <c r="P32" s="113"/>
      <c r="Q32" s="421"/>
    </row>
    <row r="33" spans="1:19">
      <c r="A33" s="420"/>
      <c r="B33" s="112"/>
      <c r="C33" s="125"/>
      <c r="D33" s="125"/>
      <c r="E33" s="125"/>
      <c r="F33" s="125"/>
      <c r="G33" s="125"/>
      <c r="H33" s="125"/>
      <c r="I33" s="125"/>
      <c r="J33" s="125"/>
      <c r="K33" s="125"/>
      <c r="L33" s="125"/>
      <c r="M33" s="125"/>
      <c r="N33" s="125"/>
      <c r="O33" s="125"/>
      <c r="P33" s="113"/>
      <c r="Q33" s="421"/>
    </row>
    <row r="34" spans="1:19" ht="13.5" thickBot="1">
      <c r="A34" s="420"/>
      <c r="B34" s="114"/>
      <c r="C34" s="115"/>
      <c r="D34" s="115"/>
      <c r="E34" s="115"/>
      <c r="F34" s="115"/>
      <c r="G34" s="115"/>
      <c r="H34" s="115"/>
      <c r="I34" s="115"/>
      <c r="J34" s="115"/>
      <c r="K34" s="115"/>
      <c r="L34" s="115"/>
      <c r="M34" s="115"/>
      <c r="N34" s="115"/>
      <c r="O34" s="115"/>
      <c r="P34" s="116"/>
      <c r="Q34" s="421"/>
    </row>
    <row r="35" spans="1:19">
      <c r="A35" s="420"/>
      <c r="Q35" s="421"/>
    </row>
    <row r="36" spans="1:19">
      <c r="A36" s="420"/>
      <c r="Q36" s="421"/>
    </row>
    <row r="37" spans="1:19">
      <c r="A37" s="420"/>
      <c r="Q37" s="421"/>
    </row>
    <row r="38" spans="1:19">
      <c r="A38" s="420"/>
      <c r="Q38" s="421"/>
    </row>
    <row r="39" spans="1:19">
      <c r="A39" s="420"/>
      <c r="Q39" s="421"/>
    </row>
    <row r="40" spans="1:19">
      <c r="A40" s="420"/>
      <c r="Q40" s="421"/>
    </row>
    <row r="41" spans="1:19" ht="13.5" thickBot="1">
      <c r="A41" s="422"/>
      <c r="B41" s="423"/>
      <c r="C41" s="423"/>
      <c r="D41" s="423"/>
      <c r="E41" s="423"/>
      <c r="F41" s="423"/>
      <c r="G41" s="423"/>
      <c r="H41" s="423"/>
      <c r="I41" s="423"/>
      <c r="J41" s="423"/>
      <c r="K41" s="423"/>
      <c r="L41" s="423"/>
      <c r="M41" s="423"/>
      <c r="N41" s="423"/>
      <c r="O41" s="423"/>
      <c r="P41" s="423"/>
      <c r="Q41" s="424"/>
    </row>
    <row r="45" spans="1:19" ht="26.25">
      <c r="B45" s="117" t="s">
        <v>161</v>
      </c>
      <c r="J45" s="204" t="s">
        <v>2027</v>
      </c>
      <c r="K45" s="118" t="s">
        <v>162</v>
      </c>
      <c r="L45" s="118" t="s">
        <v>163</v>
      </c>
      <c r="M45" s="118" t="s">
        <v>164</v>
      </c>
      <c r="N45" s="205">
        <f>SUM(K46:M48)</f>
        <v>9169.6249861539145</v>
      </c>
      <c r="O45" s="829">
        <v>3.3102</v>
      </c>
    </row>
    <row r="46" spans="1:19" ht="15.75">
      <c r="C46" s="108" t="s">
        <v>134</v>
      </c>
      <c r="D46" s="108" t="s">
        <v>165</v>
      </c>
      <c r="E46" s="108" t="s">
        <v>166</v>
      </c>
      <c r="F46" s="108" t="s">
        <v>167</v>
      </c>
      <c r="G46" s="108" t="s">
        <v>168</v>
      </c>
      <c r="J46" s="117" t="s">
        <v>169</v>
      </c>
      <c r="K46" s="203">
        <f>'WC Workings'!P86/1000/O45</f>
        <v>627.67077578394037</v>
      </c>
      <c r="L46" s="203">
        <f>'WC Workings'!P87/1000/O45</f>
        <v>5077.970071294787</v>
      </c>
      <c r="M46" s="203">
        <f>'WC Workings'!P88/1000/O45</f>
        <v>-2119.8011857289571</v>
      </c>
      <c r="N46" s="120"/>
      <c r="Q46" s="508">
        <f>K46+L46+M46</f>
        <v>3585.8396613497703</v>
      </c>
      <c r="R46" s="509">
        <f>Q46/Q48</f>
        <v>0.39105630456691187</v>
      </c>
      <c r="S46" s="510">
        <f>R46-R51</f>
        <v>3.0539839741798747E-2</v>
      </c>
    </row>
    <row r="47" spans="1:19" ht="15.75">
      <c r="B47" s="108" t="s">
        <v>267</v>
      </c>
      <c r="C47" s="127">
        <f>D47</f>
        <v>7096.9104670986999</v>
      </c>
      <c r="D47" s="127">
        <f>N50</f>
        <v>7096.9104670986999</v>
      </c>
      <c r="E47" s="127"/>
      <c r="F47" s="127"/>
      <c r="G47" s="127"/>
      <c r="J47" s="117" t="s">
        <v>170</v>
      </c>
      <c r="K47" s="127">
        <f>'WC Workings'!Q86/1000/O45</f>
        <v>4879.3843263246945</v>
      </c>
      <c r="L47" s="127">
        <f>'WC Workings'!Q87/1000/O45</f>
        <v>746.7147194026544</v>
      </c>
      <c r="M47" s="127">
        <f>'WC Workings'!Q88/1000/O45</f>
        <v>-42.313720923204436</v>
      </c>
      <c r="N47" s="120"/>
      <c r="Q47" s="508">
        <f>K47+L47+M47</f>
        <v>5583.7853248041447</v>
      </c>
      <c r="R47" s="509">
        <f>Q47/Q48</f>
        <v>0.60894369543308813</v>
      </c>
      <c r="S47" s="510">
        <f>R52-R47</f>
        <v>3.0539839741798747E-2</v>
      </c>
    </row>
    <row r="48" spans="1:19" ht="15.75">
      <c r="B48" s="108" t="s">
        <v>162</v>
      </c>
      <c r="C48" s="127">
        <f>K49-K54</f>
        <v>868.85277188512737</v>
      </c>
      <c r="D48" s="127"/>
      <c r="E48" s="127">
        <f>MIN(SUM(C$47:C47),SUM(C$47:C48))</f>
        <v>7096.9104670986999</v>
      </c>
      <c r="F48" s="127">
        <f>MAX(C48,0)</f>
        <v>868.85277188512737</v>
      </c>
      <c r="G48" s="127">
        <f>-MIN(C48,0)</f>
        <v>0</v>
      </c>
      <c r="J48" s="117" t="s">
        <v>171</v>
      </c>
      <c r="K48" s="127">
        <f>'WC Workings'!R86/1000/O45</f>
        <v>0</v>
      </c>
      <c r="L48" s="127">
        <f>'WC Workings'!R87/1000/O45</f>
        <v>0</v>
      </c>
      <c r="M48" s="127">
        <f>'WC Workings'!R88/1000/O45</f>
        <v>0</v>
      </c>
      <c r="N48" s="120"/>
      <c r="Q48" s="508">
        <f>SUM(Q46:Q47)</f>
        <v>9169.6249861539145</v>
      </c>
    </row>
    <row r="49" spans="2:22" ht="15.75">
      <c r="B49" s="108" t="s">
        <v>172</v>
      </c>
      <c r="C49" s="127">
        <f>L49-L54</f>
        <v>1576.1558207096305</v>
      </c>
      <c r="D49" s="127"/>
      <c r="E49" s="127">
        <f>MIN(SUM(C$47:C48),SUM(C$47:C49))</f>
        <v>7965.7632389838273</v>
      </c>
      <c r="F49" s="127">
        <f t="shared" ref="F49" si="0">MAX(C49,0)</f>
        <v>1576.1558207096305</v>
      </c>
      <c r="G49" s="127">
        <f t="shared" ref="G49" si="1">-MIN(C49,0)</f>
        <v>0</v>
      </c>
      <c r="J49" s="117"/>
      <c r="K49" s="295">
        <f>SUM(K46:K48)</f>
        <v>5507.0551021086349</v>
      </c>
      <c r="L49" s="295">
        <f t="shared" ref="L49:M49" si="2">SUM(L46:L48)</f>
        <v>5824.6847906974417</v>
      </c>
      <c r="M49" s="295">
        <f t="shared" si="2"/>
        <v>-2162.1149066521616</v>
      </c>
      <c r="N49" s="120"/>
      <c r="U49" s="981">
        <f>+'YTD Q1''23 Cons. vs Q1''22'!J8/1000</f>
        <v>14465.579759069025</v>
      </c>
      <c r="V49" s="509">
        <f>+K49/U49</f>
        <v>0.38070061441236402</v>
      </c>
    </row>
    <row r="50" spans="2:22" ht="26.25">
      <c r="B50" s="108" t="s">
        <v>164</v>
      </c>
      <c r="C50" s="127">
        <f>M49-M54</f>
        <v>-372.29407353954252</v>
      </c>
      <c r="D50" s="127"/>
      <c r="E50" s="127">
        <f>MIN(SUM(C$47:C49),SUM(C$47:C50))</f>
        <v>9169.6249861539145</v>
      </c>
      <c r="F50" s="127">
        <f>MAX(C50,0)</f>
        <v>0</v>
      </c>
      <c r="G50" s="127">
        <f>-MIN(C50,0)</f>
        <v>372.29407353954252</v>
      </c>
      <c r="J50" s="204" t="s">
        <v>435</v>
      </c>
      <c r="K50" s="118" t="s">
        <v>162</v>
      </c>
      <c r="L50" s="118" t="s">
        <v>163</v>
      </c>
      <c r="M50" s="118" t="s">
        <v>164</v>
      </c>
      <c r="N50" s="205">
        <f>SUM(K51:M53)</f>
        <v>7096.9104670986999</v>
      </c>
      <c r="O50" s="298">
        <v>3.282</v>
      </c>
    </row>
    <row r="51" spans="2:22" ht="15.75">
      <c r="B51" s="108" t="s">
        <v>2028</v>
      </c>
      <c r="C51" s="127"/>
      <c r="D51" s="127">
        <f>N45</f>
        <v>9169.6249861539145</v>
      </c>
      <c r="E51" s="127"/>
      <c r="F51" s="127"/>
      <c r="G51" s="127"/>
      <c r="J51" s="117" t="s">
        <v>169</v>
      </c>
      <c r="K51" s="203">
        <f>'WC Workings'!P57/1000/O50</f>
        <v>650.0430695111296</v>
      </c>
      <c r="L51" s="203">
        <f>'WC Workings'!P58/1000/O50</f>
        <v>3577.3003510054837</v>
      </c>
      <c r="M51" s="203">
        <f>'WC Workings'!P59/1000/O50</f>
        <v>-1668.7903477378477</v>
      </c>
      <c r="N51" s="120"/>
      <c r="Q51" s="508">
        <f>K51+L51+M51</f>
        <v>2558.5530727787655</v>
      </c>
      <c r="R51" s="509">
        <f>Q51/Q53</f>
        <v>0.36051646482511313</v>
      </c>
    </row>
    <row r="52" spans="2:22" ht="15.75">
      <c r="J52" s="117" t="s">
        <v>170</v>
      </c>
      <c r="K52" s="127">
        <f>'WC Workings'!Q57/1000/O50</f>
        <v>3988.1592607123775</v>
      </c>
      <c r="L52" s="127">
        <f>'WC Workings'!Q58/1000/O50</f>
        <v>671.2286189823277</v>
      </c>
      <c r="M52" s="203">
        <f>'WC Workings'!Q59/1000/O50</f>
        <v>-121.03048537477149</v>
      </c>
      <c r="N52" s="120"/>
      <c r="Q52" s="508">
        <f>K52+L52+M52</f>
        <v>4538.3573943199344</v>
      </c>
      <c r="R52" s="509">
        <f>Q52/Q53</f>
        <v>0.63948353517488687</v>
      </c>
    </row>
    <row r="53" spans="2:22" ht="15.75">
      <c r="J53" s="117" t="s">
        <v>171</v>
      </c>
      <c r="K53" s="108">
        <v>0</v>
      </c>
      <c r="L53" s="119">
        <v>0</v>
      </c>
      <c r="M53" s="120">
        <f t="shared" ref="M53" si="3">0.7*L53</f>
        <v>0</v>
      </c>
      <c r="N53" s="120"/>
      <c r="Q53" s="508">
        <f>SUM(Q51:Q52)</f>
        <v>7096.9104670986999</v>
      </c>
    </row>
    <row r="54" spans="2:22" ht="15.75">
      <c r="J54" s="117"/>
      <c r="K54" s="295">
        <f>SUM(K51:K53)</f>
        <v>4638.2023302235075</v>
      </c>
      <c r="L54" s="295">
        <f t="shared" ref="L54:M54" si="4">SUM(L51:L53)</f>
        <v>4248.5289699878113</v>
      </c>
      <c r="M54" s="295">
        <f t="shared" si="4"/>
        <v>-1789.8208331126191</v>
      </c>
      <c r="N54" s="120"/>
      <c r="Q54" s="511">
        <f>Q48-Q53</f>
        <v>2072.7145190552146</v>
      </c>
      <c r="U54" s="981">
        <f>'YTD Q1''23 Cons. vs Q1''22'!M8/1000</f>
        <v>12871.21028435982</v>
      </c>
      <c r="V54" s="509">
        <f>+K54/U54</f>
        <v>0.3603547939745434</v>
      </c>
    </row>
    <row r="55" spans="2:22" ht="15.75">
      <c r="J55" s="117"/>
      <c r="K55" s="508">
        <f>K49-K54</f>
        <v>868.85277188512737</v>
      </c>
      <c r="L55" s="119">
        <f>L49-L54</f>
        <v>1576.1558207096305</v>
      </c>
      <c r="M55" s="120">
        <f>M54-M49</f>
        <v>372.29407353954252</v>
      </c>
      <c r="N55" s="120"/>
    </row>
    <row r="56" spans="2:22" ht="15.75">
      <c r="J56" s="117"/>
      <c r="K56" s="509">
        <f>K49/K54</f>
        <v>1.1873253277942402</v>
      </c>
      <c r="L56" s="509">
        <f>L49/L54</f>
        <v>1.3709886014297679</v>
      </c>
      <c r="M56" s="120"/>
      <c r="N56" s="120"/>
    </row>
    <row r="57" spans="2:22" ht="15.75">
      <c r="J57" s="117"/>
      <c r="L57" s="119"/>
      <c r="M57" s="120"/>
      <c r="N57" s="120"/>
    </row>
    <row r="58" spans="2:22" ht="15.75">
      <c r="J58" s="117"/>
      <c r="L58" s="119"/>
      <c r="M58" s="120"/>
      <c r="N58" s="120"/>
    </row>
    <row r="59" spans="2:22" ht="15.75">
      <c r="J59" s="117"/>
      <c r="L59" s="119"/>
      <c r="M59" s="120"/>
      <c r="N59" s="120"/>
    </row>
  </sheetData>
  <pageMargins left="0.7" right="0.7" top="0.75" bottom="0.75" header="0.3" footer="0.3"/>
  <pageSetup paperSize="9" orientation="portrait"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250272-7D76-1149-8AED-C26D12A5B1B6}">
  <sheetPr codeName="Sheet27"/>
  <dimension ref="A2:W82"/>
  <sheetViews>
    <sheetView zoomScale="90" zoomScaleNormal="90" workbookViewId="0">
      <selection activeCell="C47" sqref="C47"/>
    </sheetView>
  </sheetViews>
  <sheetFormatPr baseColWidth="10" defaultColWidth="7.875" defaultRowHeight="12.75"/>
  <cols>
    <col min="1" max="1" width="13.75" style="108" customWidth="1"/>
    <col min="2" max="2" width="26.625" style="108" customWidth="1"/>
    <col min="3" max="3" width="10" style="108" bestFit="1" customWidth="1"/>
    <col min="4" max="4" width="11.625" style="108" customWidth="1"/>
    <col min="5" max="5" width="11.75" style="108" customWidth="1"/>
    <col min="6" max="7" width="7.875" style="108"/>
    <col min="8" max="8" width="13.875" style="108" bestFit="1" customWidth="1"/>
    <col min="9" max="9" width="8.875" style="108" bestFit="1" customWidth="1"/>
    <col min="10" max="10" width="10.375" style="108" bestFit="1" customWidth="1"/>
    <col min="11" max="11" width="9.875" style="108" bestFit="1" customWidth="1"/>
    <col min="12" max="12" width="10.875" style="108" customWidth="1"/>
    <col min="13" max="13" width="7.875" style="108"/>
    <col min="14" max="14" width="23.75" style="108" bestFit="1" customWidth="1"/>
    <col min="15" max="15" width="8.75" style="108" bestFit="1" customWidth="1"/>
    <col min="16" max="16" width="9.5" style="108" bestFit="1" customWidth="1"/>
    <col min="17" max="17" width="10.125" style="108" bestFit="1" customWidth="1"/>
    <col min="18" max="18" width="9.875" style="108" bestFit="1" customWidth="1"/>
    <col min="19" max="21" width="7.875" style="108"/>
    <col min="22" max="22" width="27.25" style="108" bestFit="1" customWidth="1"/>
    <col min="23" max="23" width="16.375" style="108" bestFit="1" customWidth="1"/>
    <col min="24" max="16384" width="7.875" style="108"/>
  </cols>
  <sheetData>
    <row r="2" spans="2:12">
      <c r="B2" s="692" t="str">
        <f>[79]RO_table!B20</f>
        <v>Domestic market - performance stratification
(Regions, KA and Recovery Rate)</v>
      </c>
    </row>
    <row r="4" spans="2:12">
      <c r="B4" s="301"/>
      <c r="C4" s="302"/>
      <c r="D4" s="302"/>
      <c r="E4" s="302"/>
      <c r="F4" s="302"/>
      <c r="G4" s="302"/>
      <c r="H4" s="302"/>
      <c r="I4" s="302"/>
      <c r="J4" s="302"/>
      <c r="K4" s="302"/>
      <c r="L4" s="303"/>
    </row>
    <row r="5" spans="2:12">
      <c r="B5" s="304"/>
      <c r="C5" s="305"/>
      <c r="D5" s="305"/>
      <c r="E5" s="305"/>
      <c r="F5" s="305"/>
      <c r="G5" s="305"/>
      <c r="H5" s="305"/>
      <c r="I5" s="305"/>
      <c r="J5" s="305"/>
      <c r="K5" s="305"/>
      <c r="L5" s="306"/>
    </row>
    <row r="6" spans="2:12">
      <c r="B6" s="304"/>
      <c r="C6" s="305"/>
      <c r="D6" s="305"/>
      <c r="E6" s="305"/>
      <c r="F6" s="305"/>
      <c r="G6" s="305"/>
      <c r="H6" s="305"/>
      <c r="I6" s="305"/>
      <c r="J6" s="305"/>
      <c r="K6" s="305"/>
      <c r="L6" s="306"/>
    </row>
    <row r="7" spans="2:12">
      <c r="B7" s="304"/>
      <c r="C7" s="305"/>
      <c r="D7" s="305"/>
      <c r="E7" s="305"/>
      <c r="F7" s="305"/>
      <c r="G7" s="305"/>
      <c r="H7" s="305"/>
      <c r="I7" s="305"/>
      <c r="J7" s="305"/>
      <c r="K7" s="305"/>
      <c r="L7" s="306"/>
    </row>
    <row r="8" spans="2:12">
      <c r="B8" s="304"/>
      <c r="C8" s="305"/>
      <c r="D8" s="305"/>
      <c r="E8" s="305"/>
      <c r="F8" s="305"/>
      <c r="G8" s="305"/>
      <c r="H8" s="305"/>
      <c r="I8" s="305"/>
      <c r="J8" s="305"/>
      <c r="K8" s="305"/>
      <c r="L8" s="306"/>
    </row>
    <row r="9" spans="2:12">
      <c r="B9" s="304"/>
      <c r="C9" s="305"/>
      <c r="D9" s="305"/>
      <c r="E9" s="305"/>
      <c r="F9" s="305"/>
      <c r="G9" s="305"/>
      <c r="H9" s="305"/>
      <c r="I9" s="305"/>
      <c r="J9" s="305"/>
      <c r="K9" s="305"/>
      <c r="L9" s="306"/>
    </row>
    <row r="10" spans="2:12">
      <c r="B10" s="304"/>
      <c r="C10" s="305"/>
      <c r="D10" s="305"/>
      <c r="E10" s="305"/>
      <c r="F10" s="305"/>
      <c r="G10" s="305"/>
      <c r="H10" s="305"/>
      <c r="I10" s="305"/>
      <c r="J10" s="305"/>
      <c r="K10" s="305"/>
      <c r="L10" s="306"/>
    </row>
    <row r="11" spans="2:12">
      <c r="B11" s="304"/>
      <c r="C11" s="305"/>
      <c r="D11" s="305"/>
      <c r="E11" s="305"/>
      <c r="F11" s="305"/>
      <c r="G11" s="305"/>
      <c r="H11" s="305"/>
      <c r="I11" s="305"/>
      <c r="J11" s="305"/>
      <c r="K11" s="305"/>
      <c r="L11" s="306"/>
    </row>
    <row r="12" spans="2:12">
      <c r="B12" s="304"/>
      <c r="C12" s="305"/>
      <c r="D12" s="305"/>
      <c r="E12" s="305"/>
      <c r="F12" s="305"/>
      <c r="G12" s="305"/>
      <c r="H12" s="305"/>
      <c r="I12" s="305"/>
      <c r="J12" s="305"/>
      <c r="K12" s="305"/>
      <c r="L12" s="306"/>
    </row>
    <row r="13" spans="2:12">
      <c r="B13" s="304"/>
      <c r="C13" s="305"/>
      <c r="D13" s="305"/>
      <c r="E13" s="305"/>
      <c r="F13" s="305"/>
      <c r="G13" s="305"/>
      <c r="H13" s="305"/>
      <c r="I13" s="305"/>
      <c r="J13" s="305"/>
      <c r="K13" s="305"/>
      <c r="L13" s="306"/>
    </row>
    <row r="14" spans="2:12">
      <c r="B14" s="304"/>
      <c r="C14" s="305"/>
      <c r="D14" s="305"/>
      <c r="E14" s="305"/>
      <c r="F14" s="305"/>
      <c r="G14" s="305"/>
      <c r="H14" s="305"/>
      <c r="I14" s="305"/>
      <c r="J14" s="305"/>
      <c r="K14" s="305"/>
      <c r="L14" s="306"/>
    </row>
    <row r="15" spans="2:12">
      <c r="B15" s="304"/>
      <c r="C15" s="305"/>
      <c r="D15" s="305"/>
      <c r="E15" s="305"/>
      <c r="F15" s="305"/>
      <c r="G15" s="305"/>
      <c r="H15" s="305"/>
      <c r="I15" s="305"/>
      <c r="J15" s="305"/>
      <c r="K15" s="305"/>
      <c r="L15" s="306"/>
    </row>
    <row r="16" spans="2:12">
      <c r="B16" s="304"/>
      <c r="C16" s="305"/>
      <c r="D16" s="305"/>
      <c r="E16" s="305"/>
      <c r="F16" s="305"/>
      <c r="G16" s="305"/>
      <c r="H16" s="305"/>
      <c r="I16" s="305"/>
      <c r="J16" s="305"/>
      <c r="K16" s="305"/>
      <c r="L16" s="306"/>
    </row>
    <row r="17" spans="2:12">
      <c r="B17" s="304"/>
      <c r="C17" s="305"/>
      <c r="D17" s="305"/>
      <c r="E17" s="305"/>
      <c r="F17" s="305"/>
      <c r="G17" s="305"/>
      <c r="H17" s="305"/>
      <c r="I17" s="305"/>
      <c r="J17" s="305"/>
      <c r="K17" s="305"/>
      <c r="L17" s="306"/>
    </row>
    <row r="18" spans="2:12">
      <c r="B18" s="304"/>
      <c r="C18" s="305"/>
      <c r="D18" s="305"/>
      <c r="E18" s="305"/>
      <c r="F18" s="305"/>
      <c r="G18" s="305"/>
      <c r="H18" s="305"/>
      <c r="I18" s="305"/>
      <c r="J18" s="305"/>
      <c r="K18" s="305"/>
      <c r="L18" s="306"/>
    </row>
    <row r="19" spans="2:12">
      <c r="B19" s="304"/>
      <c r="C19" s="305"/>
      <c r="D19" s="305"/>
      <c r="E19" s="305"/>
      <c r="F19" s="305"/>
      <c r="G19" s="305"/>
      <c r="H19" s="305"/>
      <c r="I19" s="305"/>
      <c r="J19" s="305"/>
      <c r="K19" s="305"/>
      <c r="L19" s="306"/>
    </row>
    <row r="20" spans="2:12">
      <c r="B20" s="304"/>
      <c r="C20" s="305"/>
      <c r="D20" s="305"/>
      <c r="E20" s="305"/>
      <c r="F20" s="305"/>
      <c r="G20" s="305"/>
      <c r="H20" s="305"/>
      <c r="I20" s="305"/>
      <c r="J20" s="305"/>
      <c r="K20" s="305"/>
      <c r="L20" s="306"/>
    </row>
    <row r="21" spans="2:12">
      <c r="B21" s="304"/>
      <c r="C21" s="305"/>
      <c r="D21" s="305"/>
      <c r="E21" s="305"/>
      <c r="F21" s="305"/>
      <c r="G21" s="305"/>
      <c r="H21" s="305"/>
      <c r="I21" s="636" t="s">
        <v>615</v>
      </c>
      <c r="J21" s="302"/>
      <c r="K21" s="303"/>
      <c r="L21" s="306"/>
    </row>
    <row r="22" spans="2:12" ht="13.9" customHeight="1">
      <c r="B22" s="304"/>
      <c r="C22" s="305"/>
      <c r="D22" s="305"/>
      <c r="E22" s="305"/>
      <c r="F22" s="305"/>
      <c r="G22" s="305"/>
      <c r="H22" s="305"/>
      <c r="I22" s="1287" t="s">
        <v>2039</v>
      </c>
      <c r="J22" s="1288"/>
      <c r="K22" s="1289"/>
      <c r="L22" s="306"/>
    </row>
    <row r="23" spans="2:12">
      <c r="B23" s="304"/>
      <c r="C23" s="305"/>
      <c r="D23" s="305"/>
      <c r="E23" s="305"/>
      <c r="F23" s="305"/>
      <c r="G23" s="305"/>
      <c r="H23" s="305"/>
      <c r="I23" s="1290"/>
      <c r="J23" s="1288"/>
      <c r="K23" s="1289"/>
      <c r="L23" s="306"/>
    </row>
    <row r="24" spans="2:12">
      <c r="B24" s="304"/>
      <c r="C24" s="305"/>
      <c r="D24" s="305"/>
      <c r="E24" s="305"/>
      <c r="F24" s="305"/>
      <c r="G24" s="305"/>
      <c r="H24" s="305"/>
      <c r="I24" s="1290"/>
      <c r="J24" s="1288"/>
      <c r="K24" s="1289"/>
      <c r="L24" s="306"/>
    </row>
    <row r="25" spans="2:12">
      <c r="B25" s="304"/>
      <c r="C25" s="305"/>
      <c r="D25" s="305"/>
      <c r="E25" s="305"/>
      <c r="F25" s="305"/>
      <c r="G25" s="305"/>
      <c r="H25" s="305"/>
      <c r="I25" s="1290"/>
      <c r="J25" s="1288"/>
      <c r="K25" s="1289"/>
      <c r="L25" s="306"/>
    </row>
    <row r="26" spans="2:12">
      <c r="B26" s="304"/>
      <c r="C26" s="305"/>
      <c r="D26" s="305"/>
      <c r="E26" s="305"/>
      <c r="F26" s="305"/>
      <c r="G26" s="305"/>
      <c r="H26" s="305"/>
      <c r="I26" s="1290"/>
      <c r="J26" s="1288"/>
      <c r="K26" s="1289"/>
      <c r="L26" s="306"/>
    </row>
    <row r="27" spans="2:12">
      <c r="B27" s="304"/>
      <c r="C27" s="305"/>
      <c r="D27" s="305"/>
      <c r="E27" s="305"/>
      <c r="F27" s="305"/>
      <c r="G27" s="305"/>
      <c r="H27" s="305"/>
      <c r="I27" s="1290"/>
      <c r="J27" s="1288"/>
      <c r="K27" s="1289"/>
      <c r="L27" s="306"/>
    </row>
    <row r="28" spans="2:12">
      <c r="B28" s="304"/>
      <c r="C28" s="305"/>
      <c r="D28" s="305"/>
      <c r="E28" s="305"/>
      <c r="F28" s="305"/>
      <c r="G28" s="305"/>
      <c r="H28" s="305"/>
      <c r="I28" s="1290"/>
      <c r="J28" s="1288"/>
      <c r="K28" s="1289"/>
      <c r="L28" s="306"/>
    </row>
    <row r="29" spans="2:12">
      <c r="B29" s="304"/>
      <c r="C29" s="305"/>
      <c r="D29" s="305"/>
      <c r="E29" s="305"/>
      <c r="F29" s="305"/>
      <c r="G29" s="305"/>
      <c r="H29" s="305"/>
      <c r="I29" s="1290"/>
      <c r="J29" s="1288"/>
      <c r="K29" s="1289"/>
      <c r="L29" s="306"/>
    </row>
    <row r="30" spans="2:12">
      <c r="B30" s="304"/>
      <c r="C30" s="305"/>
      <c r="D30" s="305"/>
      <c r="E30" s="305"/>
      <c r="F30" s="305"/>
      <c r="G30" s="305"/>
      <c r="H30" s="305"/>
      <c r="I30" s="1290"/>
      <c r="J30" s="1288"/>
      <c r="K30" s="1289"/>
      <c r="L30" s="306"/>
    </row>
    <row r="31" spans="2:12">
      <c r="B31" s="304"/>
      <c r="C31" s="305"/>
      <c r="D31" s="305"/>
      <c r="E31" s="305"/>
      <c r="F31" s="305"/>
      <c r="G31" s="305"/>
      <c r="H31" s="305"/>
      <c r="I31" s="1290"/>
      <c r="J31" s="1288"/>
      <c r="K31" s="1289"/>
      <c r="L31" s="306"/>
    </row>
    <row r="32" spans="2:12">
      <c r="B32" s="304"/>
      <c r="C32" s="305"/>
      <c r="D32" s="305"/>
      <c r="E32" s="305"/>
      <c r="F32" s="305"/>
      <c r="G32" s="305"/>
      <c r="H32" s="305"/>
      <c r="I32" s="1290"/>
      <c r="J32" s="1288"/>
      <c r="K32" s="1289"/>
      <c r="L32" s="306"/>
    </row>
    <row r="33" spans="1:12">
      <c r="B33" s="304"/>
      <c r="C33" s="305"/>
      <c r="D33" s="305"/>
      <c r="E33" s="305"/>
      <c r="F33" s="305"/>
      <c r="G33" s="305"/>
      <c r="H33" s="305"/>
      <c r="I33" s="1290"/>
      <c r="J33" s="1288"/>
      <c r="K33" s="1289"/>
      <c r="L33" s="306"/>
    </row>
    <row r="34" spans="1:12">
      <c r="B34" s="304"/>
      <c r="C34" s="305"/>
      <c r="D34" s="305"/>
      <c r="E34" s="305"/>
      <c r="F34" s="305"/>
      <c r="G34" s="305"/>
      <c r="H34" s="305"/>
      <c r="I34" s="1290"/>
      <c r="J34" s="1288"/>
      <c r="K34" s="1289"/>
      <c r="L34" s="306"/>
    </row>
    <row r="35" spans="1:12">
      <c r="B35" s="304"/>
      <c r="C35" s="305"/>
      <c r="D35" s="305"/>
      <c r="E35" s="305"/>
      <c r="F35" s="305"/>
      <c r="G35" s="305"/>
      <c r="H35" s="305"/>
      <c r="I35" s="1290"/>
      <c r="J35" s="1288"/>
      <c r="K35" s="1289"/>
      <c r="L35" s="306"/>
    </row>
    <row r="36" spans="1:12">
      <c r="B36" s="304"/>
      <c r="C36" s="305"/>
      <c r="D36" s="305"/>
      <c r="E36" s="305"/>
      <c r="F36" s="305"/>
      <c r="G36" s="305"/>
      <c r="H36" s="305"/>
      <c r="I36" s="1290"/>
      <c r="J36" s="1288"/>
      <c r="K36" s="1289"/>
      <c r="L36" s="306"/>
    </row>
    <row r="37" spans="1:12">
      <c r="B37" s="304"/>
      <c r="C37" s="305"/>
      <c r="D37" s="305"/>
      <c r="E37" s="305"/>
      <c r="F37" s="305"/>
      <c r="G37" s="305"/>
      <c r="H37" s="305"/>
      <c r="I37" s="1290"/>
      <c r="J37" s="1288"/>
      <c r="K37" s="1289"/>
      <c r="L37" s="306"/>
    </row>
    <row r="38" spans="1:12">
      <c r="B38" s="304"/>
      <c r="C38" s="305"/>
      <c r="D38" s="305"/>
      <c r="E38" s="305"/>
      <c r="F38" s="305"/>
      <c r="G38" s="305"/>
      <c r="H38" s="305"/>
      <c r="I38" s="1291"/>
      <c r="J38" s="1292"/>
      <c r="K38" s="1293"/>
      <c r="L38" s="306"/>
    </row>
    <row r="39" spans="1:12">
      <c r="B39" s="304"/>
      <c r="C39" s="305"/>
      <c r="D39" s="305"/>
      <c r="E39" s="305"/>
      <c r="F39" s="305"/>
      <c r="G39" s="305"/>
      <c r="H39" s="305"/>
      <c r="I39" s="305"/>
      <c r="J39" s="305"/>
      <c r="K39" s="305"/>
      <c r="L39" s="306"/>
    </row>
    <row r="40" spans="1:12">
      <c r="B40" s="308"/>
      <c r="C40" s="309"/>
      <c r="D40" s="309"/>
      <c r="E40" s="309"/>
      <c r="F40" s="309"/>
      <c r="G40" s="309"/>
      <c r="H40" s="309"/>
      <c r="I40" s="309"/>
      <c r="J40" s="309"/>
      <c r="K40" s="309"/>
      <c r="L40" s="310"/>
    </row>
    <row r="43" spans="1:12" ht="25.5">
      <c r="B43" s="108" t="s">
        <v>1825</v>
      </c>
      <c r="C43" s="311" t="s">
        <v>459</v>
      </c>
      <c r="D43" s="311" t="s">
        <v>1948</v>
      </c>
      <c r="E43" s="311" t="s">
        <v>461</v>
      </c>
      <c r="H43" s="108" t="s">
        <v>462</v>
      </c>
      <c r="I43" s="312" t="s">
        <v>461</v>
      </c>
    </row>
    <row r="44" spans="1:12">
      <c r="A44" s="513"/>
      <c r="B44" s="108" t="s">
        <v>1938</v>
      </c>
      <c r="C44" s="513">
        <v>12132</v>
      </c>
      <c r="D44" s="513">
        <v>98258.548429216855</v>
      </c>
      <c r="E44" s="706">
        <f>1067869.0468975/(F44*1000)</f>
        <v>320.47929140707066</v>
      </c>
      <c r="F44" s="108">
        <f>'YTD Q1''23 SNA vs Q1''22'!C3</f>
        <v>3.3321000000000001</v>
      </c>
      <c r="G44" s="509">
        <f t="shared" ref="G44:G45" si="0">+E44/$F$50</f>
        <v>0.16659677521561778</v>
      </c>
      <c r="H44" s="108" t="s">
        <v>1938</v>
      </c>
      <c r="I44" s="691">
        <v>327.45670077504525</v>
      </c>
    </row>
    <row r="45" spans="1:12">
      <c r="A45" s="513"/>
      <c r="B45" s="108" t="s">
        <v>1944</v>
      </c>
      <c r="C45" s="513">
        <v>5923</v>
      </c>
      <c r="D45" s="513">
        <v>65508.735985342391</v>
      </c>
      <c r="E45" s="707">
        <f>734614.902004/((F44*1000))</f>
        <v>220.46604303712374</v>
      </c>
      <c r="G45" s="509">
        <f t="shared" si="0"/>
        <v>0.11460625631463836</v>
      </c>
      <c r="H45" s="108" t="s">
        <v>1944</v>
      </c>
      <c r="I45" s="127">
        <v>225.26598448498973</v>
      </c>
      <c r="J45" s="108" t="s">
        <v>1920</v>
      </c>
    </row>
    <row r="46" spans="1:12">
      <c r="A46" s="513"/>
      <c r="B46" s="108" t="s">
        <v>1940</v>
      </c>
      <c r="C46" s="513">
        <v>42288</v>
      </c>
      <c r="D46" s="513">
        <v>293667.36825232458</v>
      </c>
      <c r="E46" s="707">
        <f>3711143.643402/(+(F44*1000))</f>
        <v>1113.7551824381021</v>
      </c>
      <c r="G46" s="509">
        <f>+E46/$F$50</f>
        <v>0.57897039449637333</v>
      </c>
      <c r="H46" s="108" t="s">
        <v>1940</v>
      </c>
      <c r="I46" s="127">
        <v>1138.0036317199717</v>
      </c>
    </row>
    <row r="47" spans="1:12">
      <c r="A47" s="964" t="s">
        <v>2218</v>
      </c>
      <c r="B47" s="108" t="s">
        <v>1942</v>
      </c>
      <c r="C47" s="513">
        <v>0</v>
      </c>
      <c r="D47" s="964">
        <v>48078</v>
      </c>
      <c r="E47" s="707">
        <f>436405.2907604/(+(F44*1000))</f>
        <v>130.97004614519372</v>
      </c>
      <c r="G47" s="509">
        <f t="shared" ref="G47:G48" si="1">+E47/$F$50</f>
        <v>6.8082986709788185E-2</v>
      </c>
      <c r="H47" s="108" t="s">
        <v>1942</v>
      </c>
      <c r="I47" s="127">
        <v>133.82149911391863</v>
      </c>
    </row>
    <row r="48" spans="1:12">
      <c r="A48" s="513"/>
      <c r="B48" s="108" t="s">
        <v>1939</v>
      </c>
      <c r="C48" s="513">
        <v>0</v>
      </c>
      <c r="D48" s="964">
        <f>P60</f>
        <v>31760</v>
      </c>
      <c r="E48" s="707">
        <f>459869.38254365/(+(F44*1000))</f>
        <v>138.01187915838361</v>
      </c>
      <c r="G48" s="509">
        <f t="shared" si="1"/>
        <v>7.1743587263582431E-2</v>
      </c>
      <c r="H48" s="108" t="s">
        <v>1939</v>
      </c>
      <c r="I48" s="127">
        <v>141.01664547043941</v>
      </c>
    </row>
    <row r="49" spans="1:23">
      <c r="C49" s="513"/>
      <c r="D49" s="513"/>
      <c r="E49" s="707"/>
      <c r="I49" s="127"/>
    </row>
    <row r="50" spans="1:23">
      <c r="C50" s="513"/>
      <c r="D50" s="513"/>
      <c r="E50" s="695"/>
      <c r="F50" s="513">
        <f>+E48+E47+E46+E45+E44</f>
        <v>1923.6824421858737</v>
      </c>
    </row>
    <row r="51" spans="1:23">
      <c r="A51" s="695">
        <f>+(D47+D48)/8.9</f>
        <v>8970.5617977528091</v>
      </c>
      <c r="C51" s="513"/>
      <c r="D51" s="513"/>
      <c r="E51" s="695"/>
    </row>
    <row r="52" spans="1:23">
      <c r="C52" s="513"/>
      <c r="D52" s="513"/>
      <c r="E52" s="695"/>
    </row>
    <row r="53" spans="1:23">
      <c r="C53" s="513"/>
      <c r="D53" s="513"/>
      <c r="E53" s="695"/>
    </row>
    <row r="54" spans="1:23">
      <c r="C54" s="513"/>
      <c r="D54" s="513"/>
      <c r="E54" s="695"/>
    </row>
    <row r="55" spans="1:23">
      <c r="C55" s="513"/>
      <c r="D55" s="513"/>
      <c r="E55" s="705"/>
      <c r="I55" s="1294" t="s">
        <v>1937</v>
      </c>
      <c r="J55" s="1294"/>
    </row>
    <row r="56" spans="1:23" ht="15">
      <c r="D56" s="127"/>
      <c r="H56" s="693" t="s">
        <v>1925</v>
      </c>
      <c r="I56" s="693" t="s">
        <v>1926</v>
      </c>
      <c r="J56" s="693" t="s">
        <v>1927</v>
      </c>
      <c r="K56" s="108" t="s">
        <v>1936</v>
      </c>
      <c r="N56" s="693" t="s">
        <v>1925</v>
      </c>
      <c r="O56" s="693" t="s">
        <v>1926</v>
      </c>
      <c r="P56" s="693" t="s">
        <v>1927</v>
      </c>
      <c r="Q56" s="693" t="s">
        <v>1935</v>
      </c>
      <c r="R56" s="108" t="s">
        <v>1947</v>
      </c>
      <c r="V56" s="638" t="s">
        <v>1925</v>
      </c>
      <c r="W56" s="638" t="s">
        <v>1949</v>
      </c>
    </row>
    <row r="57" spans="1:23" ht="15">
      <c r="H57" s="694" t="s">
        <v>1928</v>
      </c>
      <c r="I57" s="700">
        <v>1656</v>
      </c>
      <c r="J57" s="700"/>
      <c r="K57" s="695">
        <v>57794.886570197785</v>
      </c>
      <c r="L57" s="696" t="s">
        <v>1826</v>
      </c>
      <c r="N57" s="694" t="s">
        <v>1940</v>
      </c>
      <c r="O57" s="127">
        <v>42288</v>
      </c>
      <c r="P57" s="127"/>
      <c r="Q57" s="127">
        <v>42288</v>
      </c>
      <c r="R57" s="513">
        <v>1125817.1470094649</v>
      </c>
      <c r="S57" s="127">
        <f>+R57/1000</f>
        <v>1125.8171470094649</v>
      </c>
      <c r="V57" s="702" t="s">
        <v>1938</v>
      </c>
      <c r="W57" s="703">
        <v>98258.548429216855</v>
      </c>
    </row>
    <row r="58" spans="1:23" ht="15">
      <c r="H58" s="694" t="s">
        <v>1929</v>
      </c>
      <c r="I58" s="700">
        <v>5923</v>
      </c>
      <c r="J58" s="700">
        <v>1520</v>
      </c>
      <c r="K58" s="695">
        <v>222853.68948064552</v>
      </c>
      <c r="L58" s="696" t="s">
        <v>1921</v>
      </c>
      <c r="N58" s="694" t="s">
        <v>1938</v>
      </c>
      <c r="O58" s="127">
        <v>12132</v>
      </c>
      <c r="P58" s="127"/>
      <c r="Q58" s="127">
        <v>12132</v>
      </c>
      <c r="R58" s="513">
        <v>323950.08096635726</v>
      </c>
      <c r="S58" s="127">
        <f t="shared" ref="S58:S65" si="2">+R58/1000</f>
        <v>323.95008096635723</v>
      </c>
      <c r="V58" s="702" t="s">
        <v>1939</v>
      </c>
      <c r="W58" s="1190">
        <v>47585.67</v>
      </c>
    </row>
    <row r="59" spans="1:23" ht="15.75" thickBot="1">
      <c r="B59" s="108" t="s">
        <v>119</v>
      </c>
      <c r="C59" s="697">
        <f>SUM(C44:C58)</f>
        <v>60343</v>
      </c>
      <c r="D59" s="697">
        <f>SUM(D44:D58)</f>
        <v>537272.65266688378</v>
      </c>
      <c r="E59" s="697">
        <f>SUM(E44:E58)</f>
        <v>1923.6824421858739</v>
      </c>
      <c r="H59" s="694" t="s">
        <v>1930</v>
      </c>
      <c r="I59" s="700"/>
      <c r="J59" s="700">
        <v>90952.62</v>
      </c>
      <c r="K59" s="695">
        <v>269038.50552531541</v>
      </c>
      <c r="L59" s="696" t="s">
        <v>1922</v>
      </c>
      <c r="N59" s="694" t="s">
        <v>1944</v>
      </c>
      <c r="O59" s="127">
        <v>5923</v>
      </c>
      <c r="P59" s="127">
        <v>1520</v>
      </c>
      <c r="Q59" s="127">
        <v>7443</v>
      </c>
      <c r="R59" s="513">
        <v>222853.68948064552</v>
      </c>
      <c r="S59" s="127">
        <f t="shared" si="2"/>
        <v>222.85368948064553</v>
      </c>
      <c r="V59" s="702" t="s">
        <v>1940</v>
      </c>
      <c r="W59" s="703">
        <v>293667.36825232458</v>
      </c>
    </row>
    <row r="60" spans="1:23" ht="15.75" thickTop="1">
      <c r="H60" s="694" t="s">
        <v>1931</v>
      </c>
      <c r="I60" s="700">
        <v>2998</v>
      </c>
      <c r="J60" s="700"/>
      <c r="K60" s="695">
        <v>107150.47350399224</v>
      </c>
      <c r="L60" s="696" t="s">
        <v>1922</v>
      </c>
      <c r="N60" s="694" t="s">
        <v>1939</v>
      </c>
      <c r="O60" s="127"/>
      <c r="P60" s="127">
        <v>31760</v>
      </c>
      <c r="Q60" s="127">
        <v>31760</v>
      </c>
      <c r="R60" s="513">
        <v>139506.5473072594</v>
      </c>
      <c r="S60" s="127">
        <f t="shared" si="2"/>
        <v>139.50654730725941</v>
      </c>
      <c r="V60" s="702" t="s">
        <v>1941</v>
      </c>
      <c r="W60" s="703">
        <v>6359.4653661522589</v>
      </c>
    </row>
    <row r="61" spans="1:23" ht="15">
      <c r="B61" s="108" t="s">
        <v>479</v>
      </c>
      <c r="C61" s="508">
        <f>+I64</f>
        <v>64997</v>
      </c>
      <c r="D61" s="127">
        <f>W66</f>
        <v>637282.48307500768</v>
      </c>
      <c r="E61" s="119">
        <f>K64/1000</f>
        <v>2238.9932343241444</v>
      </c>
      <c r="H61" s="694" t="s">
        <v>1932</v>
      </c>
      <c r="I61" s="700">
        <v>42288</v>
      </c>
      <c r="J61" s="700"/>
      <c r="K61" s="695">
        <v>1125817.1470094649</v>
      </c>
      <c r="L61" s="696" t="s">
        <v>1923</v>
      </c>
      <c r="N61" s="694" t="s">
        <v>1942</v>
      </c>
      <c r="O61" s="127"/>
      <c r="P61" s="127">
        <v>48078</v>
      </c>
      <c r="Q61" s="127">
        <v>48078</v>
      </c>
      <c r="R61" s="513">
        <v>132388.45126817131</v>
      </c>
      <c r="S61" s="127">
        <f t="shared" si="2"/>
        <v>132.38845126817131</v>
      </c>
      <c r="V61" s="702" t="s">
        <v>1942</v>
      </c>
      <c r="W61" s="1190">
        <v>48078</v>
      </c>
    </row>
    <row r="62" spans="1:23" ht="15">
      <c r="B62" s="108" t="s">
        <v>480</v>
      </c>
      <c r="C62" s="698">
        <f>C59/C61</f>
        <v>0.92839669523208768</v>
      </c>
      <c r="D62" s="698">
        <f>D59/D61</f>
        <v>0.84306828908028719</v>
      </c>
      <c r="E62" s="698">
        <f>E59/E61</f>
        <v>0.85917295894221435</v>
      </c>
      <c r="H62" s="694" t="s">
        <v>1933</v>
      </c>
      <c r="I62" s="700"/>
      <c r="J62" s="700">
        <v>48078</v>
      </c>
      <c r="K62" s="695">
        <v>132388.45126817131</v>
      </c>
      <c r="L62" s="696" t="s">
        <v>1924</v>
      </c>
      <c r="N62" s="694" t="s">
        <v>1946</v>
      </c>
      <c r="O62" s="127"/>
      <c r="P62" s="127">
        <v>26300</v>
      </c>
      <c r="Q62" s="127">
        <v>26300</v>
      </c>
      <c r="R62" s="513">
        <v>129531.95821805602</v>
      </c>
      <c r="S62" s="127">
        <f t="shared" si="2"/>
        <v>129.53195821805602</v>
      </c>
      <c r="V62" s="702" t="s">
        <v>1943</v>
      </c>
      <c r="W62" s="703">
        <v>20471.313395558438</v>
      </c>
    </row>
    <row r="63" spans="1:23" ht="15">
      <c r="B63" s="108" t="s">
        <v>481</v>
      </c>
      <c r="H63" s="694" t="s">
        <v>1934</v>
      </c>
      <c r="I63" s="700">
        <v>12132</v>
      </c>
      <c r="J63" s="700"/>
      <c r="K63" s="695">
        <v>323950.08096635726</v>
      </c>
      <c r="L63" s="696" t="s">
        <v>1922</v>
      </c>
      <c r="N63" s="694" t="s">
        <v>1943</v>
      </c>
      <c r="O63" s="127">
        <v>2371</v>
      </c>
      <c r="P63" s="127"/>
      <c r="Q63" s="127">
        <v>2371</v>
      </c>
      <c r="R63" s="513">
        <v>82345.402169506124</v>
      </c>
      <c r="S63" s="127">
        <f t="shared" si="2"/>
        <v>82.34540216950613</v>
      </c>
      <c r="V63" s="702" t="s">
        <v>1944</v>
      </c>
      <c r="W63" s="703">
        <v>65508.735985342391</v>
      </c>
    </row>
    <row r="64" spans="1:23" ht="15">
      <c r="B64" s="108" t="s">
        <v>482</v>
      </c>
      <c r="D64" s="704">
        <f>D59/E59</f>
        <v>279.29383815365213</v>
      </c>
      <c r="H64" s="699" t="s">
        <v>1935</v>
      </c>
      <c r="I64" s="701">
        <v>64997</v>
      </c>
      <c r="J64" s="701">
        <v>140550.62</v>
      </c>
      <c r="K64" s="695">
        <f>SUM(K57:K63)</f>
        <v>2238993.2343241442</v>
      </c>
      <c r="N64" s="694" t="s">
        <v>1945</v>
      </c>
      <c r="O64" s="127">
        <v>1656</v>
      </c>
      <c r="P64" s="127"/>
      <c r="Q64" s="127">
        <v>1656</v>
      </c>
      <c r="R64" s="513">
        <v>57794.886570197785</v>
      </c>
      <c r="S64" s="127">
        <f t="shared" si="2"/>
        <v>57.794886570197782</v>
      </c>
      <c r="V64" s="702" t="s">
        <v>1945</v>
      </c>
      <c r="W64" s="703">
        <v>13986.431646413288</v>
      </c>
    </row>
    <row r="65" spans="1:23" ht="15">
      <c r="N65" s="694" t="s">
        <v>1941</v>
      </c>
      <c r="O65" s="127">
        <v>627</v>
      </c>
      <c r="P65" s="127"/>
      <c r="Q65" s="127">
        <v>627</v>
      </c>
      <c r="R65" s="513">
        <v>24805.071334486107</v>
      </c>
      <c r="S65" s="127">
        <f t="shared" si="2"/>
        <v>24.805071334486108</v>
      </c>
      <c r="V65" s="702" t="s">
        <v>1946</v>
      </c>
      <c r="W65" s="1190">
        <v>43366.94999999999</v>
      </c>
    </row>
    <row r="66" spans="1:23">
      <c r="A66" s="108" t="s">
        <v>483</v>
      </c>
      <c r="B66" s="108" t="s">
        <v>484</v>
      </c>
      <c r="C66" s="698">
        <v>0.9</v>
      </c>
      <c r="W66" s="508">
        <f>SUM(W57:W65)</f>
        <v>637282.48307500768</v>
      </c>
    </row>
    <row r="67" spans="1:23">
      <c r="B67" s="108" t="s">
        <v>485</v>
      </c>
      <c r="C67" s="698">
        <f>1-C66</f>
        <v>9.9999999999999978E-2</v>
      </c>
    </row>
    <row r="79" spans="1:23">
      <c r="B79" s="108" t="s">
        <v>1941</v>
      </c>
      <c r="C79" s="513">
        <v>6359.4653661522589</v>
      </c>
      <c r="D79" s="513">
        <v>627</v>
      </c>
      <c r="E79" s="695">
        <v>24.805071334486108</v>
      </c>
    </row>
    <row r="80" spans="1:23">
      <c r="B80" s="108" t="s">
        <v>1943</v>
      </c>
      <c r="C80" s="513">
        <v>20471.313395558438</v>
      </c>
      <c r="D80" s="513">
        <v>2371</v>
      </c>
      <c r="E80" s="695">
        <v>82.345402169506116</v>
      </c>
    </row>
    <row r="81" spans="2:5">
      <c r="B81" s="108" t="s">
        <v>1945</v>
      </c>
      <c r="C81" s="513">
        <v>13986.431646413288</v>
      </c>
      <c r="D81" s="513">
        <v>1656</v>
      </c>
      <c r="E81" s="695">
        <v>57.794886570197789</v>
      </c>
    </row>
    <row r="82" spans="2:5">
      <c r="B82" s="108" t="s">
        <v>1946</v>
      </c>
      <c r="C82" s="513">
        <v>43366.94999999999</v>
      </c>
      <c r="D82" s="513" t="e">
        <f>SUMIF(#REF!,B82,#REF!)</f>
        <v>#REF!</v>
      </c>
      <c r="E82" s="705" t="e">
        <f>426989.14707/(+(#REF!*1000))</f>
        <v>#REF!</v>
      </c>
    </row>
  </sheetData>
  <autoFilter ref="N56:R65" xr:uid="{A6250272-7D76-1149-8AED-C26D12A5B1B6}">
    <sortState xmlns:xlrd2="http://schemas.microsoft.com/office/spreadsheetml/2017/richdata2" ref="N57:R65">
      <sortCondition descending="1" ref="R56:R65"/>
    </sortState>
  </autoFilter>
  <mergeCells count="2">
    <mergeCell ref="I22:K38"/>
    <mergeCell ref="I55:J55"/>
  </mergeCells>
  <pageMargins left="0.7" right="0.7" top="0.75" bottom="0.75" header="0.3" footer="0.3"/>
  <pageSetup paperSize="9" orientation="portrait" horizontalDpi="4294967293" verticalDpi="0" r:id="rId1"/>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70013E-8767-4A60-9DFC-A92E9E5F31AA}">
  <dimension ref="A2:AL1249"/>
  <sheetViews>
    <sheetView topLeftCell="A45" zoomScaleNormal="100" workbookViewId="0">
      <selection activeCell="C47" sqref="C47"/>
    </sheetView>
  </sheetViews>
  <sheetFormatPr baseColWidth="10" defaultColWidth="7.875" defaultRowHeight="12.75"/>
  <cols>
    <col min="1" max="1" width="7.875" style="108"/>
    <col min="2" max="2" width="24.625" style="108" customWidth="1"/>
    <col min="3" max="3" width="9" style="108" bestFit="1" customWidth="1"/>
    <col min="4" max="7" width="7.875" style="108"/>
    <col min="8" max="8" width="14" style="108" bestFit="1" customWidth="1"/>
    <col min="9" max="9" width="9.875" style="108" bestFit="1" customWidth="1"/>
    <col min="10" max="11" width="7.875" style="108"/>
    <col min="12" max="12" width="3.375" style="108" customWidth="1"/>
    <col min="13" max="16" width="7.875" style="108"/>
    <col min="17" max="17" width="16.875" style="108" bestFit="1" customWidth="1"/>
    <col min="18" max="18" width="10.625" style="108" bestFit="1" customWidth="1"/>
    <col min="19" max="19" width="10.25" style="108" bestFit="1" customWidth="1"/>
    <col min="20" max="22" width="9.125" style="108" bestFit="1" customWidth="1"/>
    <col min="23" max="23" width="21.875" style="108" bestFit="1" customWidth="1"/>
    <col min="24" max="24" width="11" style="108" bestFit="1" customWidth="1"/>
    <col min="25" max="25" width="9.625" style="108" bestFit="1" customWidth="1"/>
    <col min="26" max="26" width="9.125" style="108" bestFit="1" customWidth="1"/>
    <col min="27" max="27" width="10.625" style="108" bestFit="1" customWidth="1"/>
    <col min="28" max="28" width="7.875" style="108"/>
    <col min="29" max="29" width="34.625" style="108" bestFit="1" customWidth="1"/>
    <col min="30" max="30" width="9.5" style="108" bestFit="1" customWidth="1"/>
    <col min="31" max="33" width="7.875" style="108"/>
    <col min="34" max="34" width="11.875" style="108" bestFit="1" customWidth="1"/>
    <col min="35" max="35" width="10.625" style="108" bestFit="1" customWidth="1"/>
    <col min="36" max="36" width="9.875" style="108" bestFit="1" customWidth="1"/>
    <col min="37" max="16384" width="7.875" style="108"/>
  </cols>
  <sheetData>
    <row r="2" spans="2:12" ht="18.75">
      <c r="B2" s="300" t="str">
        <f>[79]RO_table!B20</f>
        <v>Domestic market - performance stratification
(Regions, KA and Recovery Rate)</v>
      </c>
    </row>
    <row r="4" spans="2:12">
      <c r="B4" s="301"/>
      <c r="C4" s="302"/>
      <c r="D4" s="302"/>
      <c r="E4" s="302"/>
      <c r="F4" s="302"/>
      <c r="G4" s="302"/>
      <c r="H4" s="302"/>
      <c r="I4" s="302"/>
      <c r="J4" s="302"/>
      <c r="K4" s="302"/>
      <c r="L4" s="303"/>
    </row>
    <row r="5" spans="2:12">
      <c r="B5" s="304"/>
      <c r="C5" s="305"/>
      <c r="D5" s="305"/>
      <c r="E5" s="305"/>
      <c r="F5" s="305"/>
      <c r="G5" s="305"/>
      <c r="H5" s="305"/>
      <c r="I5" s="305"/>
      <c r="J5" s="305"/>
      <c r="K5" s="305"/>
      <c r="L5" s="306"/>
    </row>
    <row r="6" spans="2:12">
      <c r="B6" s="304"/>
      <c r="C6" s="305"/>
      <c r="D6" s="305"/>
      <c r="E6" s="305"/>
      <c r="F6" s="305"/>
      <c r="G6" s="305"/>
      <c r="H6" s="305"/>
      <c r="I6" s="305"/>
      <c r="J6" s="305"/>
      <c r="K6" s="305"/>
      <c r="L6" s="306"/>
    </row>
    <row r="7" spans="2:12">
      <c r="B7" s="304"/>
      <c r="C7" s="305"/>
      <c r="D7" s="305"/>
      <c r="E7" s="305"/>
      <c r="F7" s="305"/>
      <c r="G7" s="305"/>
      <c r="H7" s="305"/>
      <c r="I7" s="305"/>
      <c r="J7" s="305"/>
      <c r="K7" s="305"/>
      <c r="L7" s="306"/>
    </row>
    <row r="8" spans="2:12">
      <c r="B8" s="304"/>
      <c r="C8" s="305"/>
      <c r="D8" s="305"/>
      <c r="E8" s="305"/>
      <c r="F8" s="305"/>
      <c r="G8" s="305"/>
      <c r="H8" s="305"/>
      <c r="I8" s="305"/>
      <c r="J8" s="305"/>
      <c r="K8" s="305"/>
      <c r="L8" s="306"/>
    </row>
    <row r="9" spans="2:12">
      <c r="B9" s="304"/>
      <c r="C9" s="305"/>
      <c r="D9" s="305"/>
      <c r="E9" s="305"/>
      <c r="F9" s="305"/>
      <c r="G9" s="305"/>
      <c r="H9" s="305"/>
      <c r="I9" s="305"/>
      <c r="J9" s="305"/>
      <c r="K9" s="305"/>
      <c r="L9" s="306"/>
    </row>
    <row r="10" spans="2:12">
      <c r="B10" s="304"/>
      <c r="C10" s="305"/>
      <c r="D10" s="305"/>
      <c r="E10" s="305"/>
      <c r="F10" s="305"/>
      <c r="G10" s="305"/>
      <c r="H10" s="305"/>
      <c r="I10" s="305"/>
      <c r="J10" s="305"/>
      <c r="K10" s="305"/>
      <c r="L10" s="306"/>
    </row>
    <row r="11" spans="2:12">
      <c r="B11" s="304"/>
      <c r="C11" s="305"/>
      <c r="D11" s="305"/>
      <c r="E11" s="305"/>
      <c r="F11" s="305"/>
      <c r="G11" s="305"/>
      <c r="H11" s="305"/>
      <c r="I11" s="305"/>
      <c r="J11" s="305"/>
      <c r="K11" s="305"/>
      <c r="L11" s="306"/>
    </row>
    <row r="12" spans="2:12">
      <c r="B12" s="304"/>
      <c r="C12" s="305"/>
      <c r="D12" s="305"/>
      <c r="E12" s="305"/>
      <c r="F12" s="305"/>
      <c r="G12" s="305"/>
      <c r="H12" s="305"/>
      <c r="I12" s="305"/>
      <c r="J12" s="305"/>
      <c r="K12" s="305"/>
      <c r="L12" s="306"/>
    </row>
    <row r="13" spans="2:12">
      <c r="B13" s="304"/>
      <c r="C13" s="305"/>
      <c r="D13" s="305"/>
      <c r="E13" s="305"/>
      <c r="F13" s="305"/>
      <c r="G13" s="305"/>
      <c r="H13" s="305"/>
      <c r="I13" s="305"/>
      <c r="J13" s="305"/>
      <c r="K13" s="305"/>
      <c r="L13" s="306"/>
    </row>
    <row r="14" spans="2:12">
      <c r="B14" s="304"/>
      <c r="C14" s="305"/>
      <c r="D14" s="305"/>
      <c r="E14" s="305"/>
      <c r="F14" s="305"/>
      <c r="G14" s="305"/>
      <c r="H14" s="305"/>
      <c r="I14" s="305"/>
      <c r="J14" s="305"/>
      <c r="K14" s="305"/>
      <c r="L14" s="306"/>
    </row>
    <row r="15" spans="2:12">
      <c r="B15" s="304"/>
      <c r="C15" s="305"/>
      <c r="D15" s="305"/>
      <c r="E15" s="305"/>
      <c r="F15" s="305"/>
      <c r="G15" s="305"/>
      <c r="H15" s="305"/>
      <c r="I15" s="305"/>
      <c r="J15" s="305"/>
      <c r="K15" s="305"/>
      <c r="L15" s="306"/>
    </row>
    <row r="16" spans="2:12">
      <c r="B16" s="304"/>
      <c r="C16" s="305"/>
      <c r="D16" s="305"/>
      <c r="E16" s="305"/>
      <c r="F16" s="305"/>
      <c r="G16" s="305"/>
      <c r="H16" s="305"/>
      <c r="I16" s="305"/>
      <c r="J16" s="305"/>
      <c r="K16" s="305"/>
      <c r="L16" s="306"/>
    </row>
    <row r="17" spans="2:21">
      <c r="B17" s="304"/>
      <c r="C17" s="305"/>
      <c r="D17" s="305"/>
      <c r="E17" s="305"/>
      <c r="F17" s="305"/>
      <c r="G17" s="305"/>
      <c r="H17" s="305"/>
      <c r="I17" s="305"/>
      <c r="J17" s="305"/>
      <c r="K17" s="305"/>
      <c r="L17" s="306"/>
    </row>
    <row r="18" spans="2:21">
      <c r="B18" s="304"/>
      <c r="C18" s="305"/>
      <c r="D18" s="305"/>
      <c r="E18" s="305"/>
      <c r="F18" s="305"/>
      <c r="G18" s="305"/>
      <c r="H18" s="305"/>
      <c r="I18" s="305"/>
      <c r="J18" s="305"/>
      <c r="K18" s="305"/>
      <c r="L18" s="306"/>
    </row>
    <row r="19" spans="2:21">
      <c r="B19" s="304"/>
      <c r="C19" s="305"/>
      <c r="D19" s="305"/>
      <c r="E19" s="305"/>
      <c r="F19" s="305"/>
      <c r="G19" s="305"/>
      <c r="H19" s="305"/>
      <c r="I19" s="305"/>
      <c r="J19" s="305"/>
      <c r="K19" s="305"/>
      <c r="L19" s="306"/>
    </row>
    <row r="20" spans="2:21">
      <c r="B20" s="304"/>
      <c r="C20" s="305"/>
      <c r="D20" s="305"/>
      <c r="E20" s="305"/>
      <c r="F20" s="305"/>
      <c r="G20" s="305"/>
      <c r="H20" s="305"/>
      <c r="I20" s="305"/>
      <c r="J20" s="305"/>
      <c r="K20" s="305"/>
      <c r="L20" s="306"/>
    </row>
    <row r="21" spans="2:21">
      <c r="B21" s="304"/>
      <c r="C21" s="305"/>
      <c r="D21" s="305"/>
      <c r="E21" s="305"/>
      <c r="F21" s="305"/>
      <c r="G21" s="305"/>
      <c r="H21" s="305"/>
      <c r="I21" s="636" t="s">
        <v>615</v>
      </c>
      <c r="J21" s="302"/>
      <c r="K21" s="303"/>
      <c r="L21" s="306"/>
    </row>
    <row r="22" spans="2:21">
      <c r="B22" s="304"/>
      <c r="C22" s="305"/>
      <c r="D22" s="305"/>
      <c r="E22" s="305"/>
      <c r="F22" s="305"/>
      <c r="G22" s="305"/>
      <c r="H22" s="305"/>
      <c r="I22" s="1287" t="s">
        <v>2040</v>
      </c>
      <c r="J22" s="1288"/>
      <c r="K22" s="1289"/>
      <c r="L22" s="306"/>
    </row>
    <row r="23" spans="2:21">
      <c r="B23" s="304"/>
      <c r="C23" s="305"/>
      <c r="D23" s="305"/>
      <c r="E23" s="305"/>
      <c r="F23" s="305"/>
      <c r="G23" s="305"/>
      <c r="H23" s="305"/>
      <c r="I23" s="1290"/>
      <c r="J23" s="1288"/>
      <c r="K23" s="1289"/>
      <c r="L23" s="306"/>
    </row>
    <row r="24" spans="2:21">
      <c r="B24" s="304"/>
      <c r="C24" s="305"/>
      <c r="D24" s="305"/>
      <c r="E24" s="305"/>
      <c r="F24" s="305"/>
      <c r="G24" s="305"/>
      <c r="H24" s="305"/>
      <c r="I24" s="1290"/>
      <c r="J24" s="1288"/>
      <c r="K24" s="1289"/>
      <c r="L24" s="306"/>
    </row>
    <row r="25" spans="2:21">
      <c r="B25" s="304"/>
      <c r="C25" s="305"/>
      <c r="D25" s="305"/>
      <c r="E25" s="305"/>
      <c r="F25" s="305"/>
      <c r="G25" s="305"/>
      <c r="H25" s="305"/>
      <c r="I25" s="1290"/>
      <c r="J25" s="1288"/>
      <c r="K25" s="1289"/>
      <c r="L25" s="306"/>
    </row>
    <row r="26" spans="2:21">
      <c r="B26" s="304"/>
      <c r="C26" s="305"/>
      <c r="D26" s="305"/>
      <c r="E26" s="305"/>
      <c r="F26" s="305"/>
      <c r="G26" s="305"/>
      <c r="H26" s="305"/>
      <c r="I26" s="1290"/>
      <c r="J26" s="1288"/>
      <c r="K26" s="1289"/>
      <c r="L26" s="306"/>
    </row>
    <row r="27" spans="2:21">
      <c r="B27" s="304"/>
      <c r="C27" s="305"/>
      <c r="D27" s="305"/>
      <c r="E27" s="305"/>
      <c r="F27" s="305"/>
      <c r="G27" s="305"/>
      <c r="H27" s="305"/>
      <c r="I27" s="1290"/>
      <c r="J27" s="1288"/>
      <c r="K27" s="1289"/>
      <c r="L27" s="306"/>
    </row>
    <row r="28" spans="2:21">
      <c r="B28" s="304"/>
      <c r="C28" s="305"/>
      <c r="D28" s="305"/>
      <c r="E28" s="305"/>
      <c r="F28" s="305"/>
      <c r="G28" s="305"/>
      <c r="H28" s="305"/>
      <c r="I28" s="1290"/>
      <c r="J28" s="1288"/>
      <c r="K28" s="1289"/>
      <c r="L28" s="306"/>
    </row>
    <row r="29" spans="2:21" ht="15">
      <c r="B29" s="304"/>
      <c r="C29" s="305"/>
      <c r="D29" s="305"/>
      <c r="E29" s="305"/>
      <c r="F29" s="305"/>
      <c r="G29" s="305"/>
      <c r="H29" s="305"/>
      <c r="I29" s="1290"/>
      <c r="J29" s="1288"/>
      <c r="K29" s="1289"/>
      <c r="L29" s="306"/>
      <c r="Q29" s="637"/>
      <c r="R29" s="637" t="s">
        <v>616</v>
      </c>
      <c r="S29" s="637"/>
      <c r="T29" s="637" t="s">
        <v>617</v>
      </c>
      <c r="U29" s="637"/>
    </row>
    <row r="30" spans="2:21" ht="15">
      <c r="B30" s="304"/>
      <c r="C30" s="305"/>
      <c r="D30" s="305"/>
      <c r="E30" s="305"/>
      <c r="F30" s="305"/>
      <c r="G30" s="305"/>
      <c r="H30" s="305"/>
      <c r="I30" s="1290"/>
      <c r="J30" s="1288"/>
      <c r="K30" s="1289"/>
      <c r="L30" s="306"/>
      <c r="Q30" s="638" t="s">
        <v>618</v>
      </c>
      <c r="R30" s="639">
        <v>2021</v>
      </c>
      <c r="S30" s="639">
        <v>2022</v>
      </c>
      <c r="T30" s="639">
        <v>2021</v>
      </c>
      <c r="U30" s="639">
        <v>2022</v>
      </c>
    </row>
    <row r="31" spans="2:21" ht="15">
      <c r="B31" s="304"/>
      <c r="C31" s="305"/>
      <c r="D31" s="305"/>
      <c r="E31" s="305"/>
      <c r="F31" s="305"/>
      <c r="G31" s="305"/>
      <c r="H31" s="305"/>
      <c r="I31" s="1290"/>
      <c r="J31" s="1288"/>
      <c r="K31" s="1289"/>
      <c r="L31" s="306"/>
      <c r="Q31" s="640" t="s">
        <v>619</v>
      </c>
      <c r="R31" s="641">
        <v>10009512.617715195</v>
      </c>
      <c r="S31" s="641">
        <v>12022131.097228</v>
      </c>
      <c r="T31" s="641">
        <v>194019</v>
      </c>
      <c r="U31" s="641">
        <v>214158</v>
      </c>
    </row>
    <row r="32" spans="2:21">
      <c r="B32" s="304"/>
      <c r="C32" s="305"/>
      <c r="D32" s="305"/>
      <c r="E32" s="305"/>
      <c r="F32" s="305"/>
      <c r="G32" s="305"/>
      <c r="H32" s="305"/>
      <c r="I32" s="1290"/>
      <c r="J32" s="1288"/>
      <c r="K32" s="1289"/>
      <c r="L32" s="306"/>
      <c r="S32" s="508">
        <f>S31-R31</f>
        <v>2012618.4795128051</v>
      </c>
    </row>
    <row r="33" spans="2:38">
      <c r="B33" s="304"/>
      <c r="C33" s="305"/>
      <c r="D33" s="305"/>
      <c r="E33" s="305"/>
      <c r="F33" s="305"/>
      <c r="G33" s="305"/>
      <c r="H33" s="305"/>
      <c r="I33" s="1290"/>
      <c r="J33" s="1288"/>
      <c r="K33" s="1289"/>
      <c r="L33" s="306"/>
      <c r="S33" s="642">
        <f>S31/R31-1</f>
        <v>0.20107057719781496</v>
      </c>
      <c r="U33" s="642">
        <f>U31/T31-1</f>
        <v>0.10379911245805817</v>
      </c>
    </row>
    <row r="34" spans="2:38">
      <c r="B34" s="304"/>
      <c r="C34" s="305"/>
      <c r="D34" s="305"/>
      <c r="E34" s="305"/>
      <c r="F34" s="305"/>
      <c r="G34" s="305"/>
      <c r="H34" s="305"/>
      <c r="I34" s="1290"/>
      <c r="J34" s="1288"/>
      <c r="K34" s="1289"/>
      <c r="L34" s="306"/>
    </row>
    <row r="35" spans="2:38">
      <c r="B35" s="304"/>
      <c r="C35" s="305"/>
      <c r="D35" s="305"/>
      <c r="E35" s="305"/>
      <c r="F35" s="305"/>
      <c r="G35" s="305"/>
      <c r="H35" s="305"/>
      <c r="I35" s="1290"/>
      <c r="J35" s="1288"/>
      <c r="K35" s="1289"/>
      <c r="L35" s="306"/>
      <c r="R35" s="643">
        <f>R31/T31</f>
        <v>51.590373199094905</v>
      </c>
      <c r="S35" s="643">
        <f>S31/U31</f>
        <v>56.136735948355884</v>
      </c>
      <c r="U35" s="643"/>
    </row>
    <row r="36" spans="2:38">
      <c r="B36" s="304"/>
      <c r="C36" s="305"/>
      <c r="D36" s="305"/>
      <c r="E36" s="305"/>
      <c r="F36" s="305"/>
      <c r="G36" s="305"/>
      <c r="H36" s="305"/>
      <c r="I36" s="1290"/>
      <c r="J36" s="1288"/>
      <c r="K36" s="1289"/>
      <c r="L36" s="306"/>
      <c r="S36" s="642">
        <f>S35/R35-1</f>
        <v>8.8124246198334033E-2</v>
      </c>
    </row>
    <row r="37" spans="2:38">
      <c r="B37" s="304"/>
      <c r="C37" s="305"/>
      <c r="D37" s="305"/>
      <c r="E37" s="305"/>
      <c r="F37" s="305"/>
      <c r="G37" s="305"/>
      <c r="H37" s="305"/>
      <c r="I37" s="1290"/>
      <c r="J37" s="1288"/>
      <c r="K37" s="1289"/>
      <c r="L37" s="306"/>
    </row>
    <row r="38" spans="2:38">
      <c r="B38" s="304"/>
      <c r="C38" s="305"/>
      <c r="D38" s="305"/>
      <c r="E38" s="305"/>
      <c r="F38" s="305"/>
      <c r="G38" s="305"/>
      <c r="H38" s="305"/>
      <c r="I38" s="1291"/>
      <c r="J38" s="1292"/>
      <c r="K38" s="1293"/>
      <c r="L38" s="306"/>
    </row>
    <row r="39" spans="2:38">
      <c r="B39" s="304"/>
      <c r="C39" s="305"/>
      <c r="D39" s="305"/>
      <c r="E39" s="305"/>
      <c r="F39" s="305"/>
      <c r="G39" s="305"/>
      <c r="H39" s="305"/>
      <c r="I39" s="305"/>
      <c r="J39" s="305"/>
      <c r="K39" s="305"/>
      <c r="L39" s="306"/>
    </row>
    <row r="40" spans="2:38">
      <c r="B40" s="308"/>
      <c r="C40" s="309"/>
      <c r="D40" s="309"/>
      <c r="E40" s="309"/>
      <c r="F40" s="309"/>
      <c r="G40" s="309"/>
      <c r="H40" s="309"/>
      <c r="I40" s="309"/>
      <c r="J40" s="309"/>
      <c r="K40" s="309"/>
      <c r="L40" s="310"/>
    </row>
    <row r="42" spans="2:38">
      <c r="W42" s="108" t="s">
        <v>1830</v>
      </c>
    </row>
    <row r="43" spans="2:38" ht="25.5">
      <c r="C43" s="311" t="s">
        <v>459</v>
      </c>
      <c r="D43" s="311" t="s">
        <v>461</v>
      </c>
      <c r="H43" s="108" t="s">
        <v>462</v>
      </c>
      <c r="I43" s="312" t="s">
        <v>461</v>
      </c>
      <c r="R43" s="108" t="s">
        <v>1829</v>
      </c>
      <c r="W43" s="108" t="s">
        <v>620</v>
      </c>
      <c r="X43" s="108" t="s">
        <v>621</v>
      </c>
      <c r="Y43" s="108" t="s">
        <v>622</v>
      </c>
      <c r="AC43" s="108" t="s">
        <v>623</v>
      </c>
      <c r="AD43" s="108" t="s">
        <v>621</v>
      </c>
      <c r="AE43" s="108" t="s">
        <v>622</v>
      </c>
      <c r="AH43" s="108" t="s">
        <v>620</v>
      </c>
      <c r="AI43" s="108" t="s">
        <v>621</v>
      </c>
      <c r="AJ43" s="108" t="s">
        <v>622</v>
      </c>
      <c r="AL43" s="108" t="s">
        <v>624</v>
      </c>
    </row>
    <row r="44" spans="2:38" ht="15.75">
      <c r="B44" s="108" t="s">
        <v>625</v>
      </c>
      <c r="C44" s="108">
        <v>6925</v>
      </c>
      <c r="D44" s="127">
        <v>289.80405384686145</v>
      </c>
      <c r="H44" s="108" t="s">
        <v>626</v>
      </c>
      <c r="I44" s="127">
        <f>+S44</f>
        <v>1053.7513399905856</v>
      </c>
      <c r="J44" s="509">
        <f>I44/$D$58</f>
        <v>8.76509606714867E-2</v>
      </c>
      <c r="Q44" s="644" t="s">
        <v>626</v>
      </c>
      <c r="R44" s="645">
        <v>1053751.3399905856</v>
      </c>
      <c r="S44" s="646">
        <f>R44/1000</f>
        <v>1053.7513399905856</v>
      </c>
      <c r="T44" s="646"/>
      <c r="U44" s="646"/>
      <c r="V44" s="646"/>
      <c r="W44" s="644" t="s">
        <v>627</v>
      </c>
      <c r="X44" s="647">
        <v>1193358.6350229599</v>
      </c>
      <c r="Y44" s="648">
        <v>21224</v>
      </c>
      <c r="Z44" s="646" t="str">
        <f>VLOOKUP(W44,'[85]New local market'!$B:$E,4,FALSE)</f>
        <v>LB77L3F0_1</v>
      </c>
      <c r="AA44" s="646">
        <f>X44/1000</f>
        <v>1193.35863502296</v>
      </c>
      <c r="AC44" s="644" t="s">
        <v>625</v>
      </c>
      <c r="AD44" s="647">
        <v>289804.05384686147</v>
      </c>
      <c r="AE44" s="648">
        <v>6925</v>
      </c>
      <c r="AF44" s="151">
        <f>AD44/1000</f>
        <v>289.80405384686145</v>
      </c>
      <c r="AH44" s="649" t="s">
        <v>627</v>
      </c>
      <c r="AI44" s="645">
        <v>3933787.4044896853</v>
      </c>
      <c r="AJ44" s="645">
        <v>21224</v>
      </c>
      <c r="AK44" s="108" t="b">
        <f>W44=AH44</f>
        <v>1</v>
      </c>
      <c r="AL44" s="127">
        <f>AI44/AJ44</f>
        <v>185.34618377731272</v>
      </c>
    </row>
    <row r="45" spans="2:38" ht="15.75">
      <c r="B45" s="108" t="s">
        <v>628</v>
      </c>
      <c r="C45" s="108">
        <v>4789</v>
      </c>
      <c r="D45" s="127">
        <v>240.69452802224197</v>
      </c>
      <c r="H45" s="108" t="s">
        <v>629</v>
      </c>
      <c r="I45" s="127">
        <f t="shared" ref="I45:I49" si="0">+S45</f>
        <v>1462.0743697719486</v>
      </c>
      <c r="J45" s="509">
        <f t="shared" ref="J45:J49" si="1">I45/$D$58</f>
        <v>0.12161524092089383</v>
      </c>
      <c r="Q45" s="644" t="s">
        <v>629</v>
      </c>
      <c r="R45" s="645">
        <v>1462074.3697719485</v>
      </c>
      <c r="S45" s="646">
        <f t="shared" ref="S45:S49" si="2">R45/1000</f>
        <v>1462.0743697719486</v>
      </c>
      <c r="T45" s="645"/>
      <c r="U45" s="645"/>
      <c r="V45" s="645"/>
      <c r="W45" s="644" t="s">
        <v>630</v>
      </c>
      <c r="X45" s="647">
        <v>966884.13462429598</v>
      </c>
      <c r="Y45" s="648">
        <v>19851</v>
      </c>
      <c r="Z45" s="646" t="str">
        <f>VLOOKUP(W45,'[85]New local market'!$B:$E,4,FALSE)</f>
        <v>LB66L2F0_1</v>
      </c>
      <c r="AA45" s="646">
        <f t="shared" ref="AA45:AA58" si="3">X45/1000</f>
        <v>966.88413462429594</v>
      </c>
      <c r="AC45" s="644" t="s">
        <v>628</v>
      </c>
      <c r="AD45" s="647">
        <v>240694.52802224198</v>
      </c>
      <c r="AE45" s="648">
        <v>4789</v>
      </c>
      <c r="AF45" s="151">
        <f t="shared" ref="AF45:AF53" si="4">AD45/1000</f>
        <v>240.69452802224197</v>
      </c>
      <c r="AH45" s="649" t="s">
        <v>630</v>
      </c>
      <c r="AI45" s="645">
        <v>3187236.8613755293</v>
      </c>
      <c r="AJ45" s="645">
        <v>19851</v>
      </c>
      <c r="AK45" s="108" t="b">
        <f t="shared" ref="AK45:AK57" si="5">W45=AH45</f>
        <v>1</v>
      </c>
      <c r="AL45" s="127">
        <f t="shared" ref="AL45:AL57" si="6">AI45/AJ45</f>
        <v>160.5580001700433</v>
      </c>
    </row>
    <row r="46" spans="2:38" ht="15.75">
      <c r="B46" s="108" t="s">
        <v>631</v>
      </c>
      <c r="C46" s="108">
        <v>4699</v>
      </c>
      <c r="D46" s="127">
        <v>237.61334784786217</v>
      </c>
      <c r="H46" s="108" t="s">
        <v>632</v>
      </c>
      <c r="I46" s="127">
        <f t="shared" si="0"/>
        <v>842.77942735067711</v>
      </c>
      <c r="J46" s="509">
        <f t="shared" si="1"/>
        <v>7.0102332151826499E-2</v>
      </c>
      <c r="Q46" s="644" t="s">
        <v>632</v>
      </c>
      <c r="R46" s="645">
        <v>842779.42735067708</v>
      </c>
      <c r="S46" s="646">
        <f t="shared" si="2"/>
        <v>842.77942735067711</v>
      </c>
      <c r="T46" s="645"/>
      <c r="U46" s="645"/>
      <c r="V46" s="645"/>
      <c r="W46" s="644" t="s">
        <v>633</v>
      </c>
      <c r="X46" s="647">
        <v>920082.92356057034</v>
      </c>
      <c r="Y46" s="648">
        <v>13586</v>
      </c>
      <c r="Z46" s="646" t="e">
        <f>VLOOKUP(W46,'[85]New local market'!$B:$E,4,FALSE)</f>
        <v>#N/A</v>
      </c>
      <c r="AA46" s="646">
        <f t="shared" si="3"/>
        <v>920.08292356057029</v>
      </c>
      <c r="AC46" s="644" t="s">
        <v>631</v>
      </c>
      <c r="AD46" s="647">
        <v>237613.34784786217</v>
      </c>
      <c r="AE46" s="648">
        <v>4699</v>
      </c>
      <c r="AF46" s="151">
        <f t="shared" si="4"/>
        <v>237.61334784786217</v>
      </c>
      <c r="AH46" s="649" t="s">
        <v>633</v>
      </c>
      <c r="AI46" s="645">
        <v>3032961.3492250643</v>
      </c>
      <c r="AJ46" s="645">
        <v>13586</v>
      </c>
      <c r="AK46" s="108" t="b">
        <f t="shared" si="5"/>
        <v>1</v>
      </c>
      <c r="AL46" s="127">
        <f t="shared" si="6"/>
        <v>223.24167151663951</v>
      </c>
    </row>
    <row r="47" spans="2:38" ht="15.75">
      <c r="B47" s="108" t="s">
        <v>634</v>
      </c>
      <c r="C47" s="108">
        <v>4295</v>
      </c>
      <c r="D47" s="127">
        <v>222.92209358805223</v>
      </c>
      <c r="H47" s="108" t="s">
        <v>635</v>
      </c>
      <c r="I47" s="127">
        <f t="shared" si="0"/>
        <v>4902.1455552790558</v>
      </c>
      <c r="J47" s="509">
        <f t="shared" si="1"/>
        <v>0.40776011471122464</v>
      </c>
      <c r="Q47" s="644" t="s">
        <v>635</v>
      </c>
      <c r="R47" s="645">
        <v>4902145.5552790556</v>
      </c>
      <c r="S47" s="646">
        <f t="shared" si="2"/>
        <v>4902.1455552790558</v>
      </c>
      <c r="T47" s="646"/>
      <c r="U47" s="646"/>
      <c r="V47" s="646"/>
      <c r="W47" s="644" t="s">
        <v>636</v>
      </c>
      <c r="X47" s="647">
        <v>882045.73289379315</v>
      </c>
      <c r="Y47" s="648">
        <v>20151</v>
      </c>
      <c r="Z47" s="646" t="e">
        <f>VLOOKUP(W47,'[85]New local market'!$B:$E,4,FALSE)</f>
        <v>#N/A</v>
      </c>
      <c r="AA47" s="646">
        <f t="shared" si="3"/>
        <v>882.04573289379312</v>
      </c>
      <c r="AC47" s="644" t="s">
        <v>634</v>
      </c>
      <c r="AD47" s="647">
        <v>222922.09358805223</v>
      </c>
      <c r="AE47" s="648">
        <v>4295</v>
      </c>
      <c r="AF47" s="151">
        <f t="shared" si="4"/>
        <v>222.92209358805223</v>
      </c>
      <c r="AH47" s="649" t="s">
        <v>636</v>
      </c>
      <c r="AI47" s="645">
        <v>2907575.5539111001</v>
      </c>
      <c r="AJ47" s="645">
        <v>20151</v>
      </c>
      <c r="AK47" s="108" t="b">
        <f t="shared" si="5"/>
        <v>1</v>
      </c>
      <c r="AL47" s="127">
        <f t="shared" si="6"/>
        <v>144.28939278006553</v>
      </c>
    </row>
    <row r="48" spans="2:38" ht="15.75">
      <c r="B48" s="108" t="s">
        <v>640</v>
      </c>
      <c r="C48" s="108">
        <v>2300</v>
      </c>
      <c r="D48" s="127">
        <v>159.15291460958994</v>
      </c>
      <c r="H48" s="108" t="s">
        <v>638</v>
      </c>
      <c r="I48" s="127">
        <f t="shared" si="0"/>
        <v>2223.905411248727</v>
      </c>
      <c r="J48" s="509">
        <f t="shared" si="1"/>
        <v>0.18498429215777809</v>
      </c>
      <c r="Q48" s="644" t="s">
        <v>638</v>
      </c>
      <c r="R48" s="645">
        <v>2223905.4112487268</v>
      </c>
      <c r="S48" s="646">
        <f t="shared" si="2"/>
        <v>2223.905411248727</v>
      </c>
      <c r="T48" s="645"/>
      <c r="U48" s="645"/>
      <c r="V48" s="645"/>
      <c r="W48" s="644" t="s">
        <v>639</v>
      </c>
      <c r="X48" s="647">
        <v>772394.40443919913</v>
      </c>
      <c r="Y48" s="648">
        <v>16229</v>
      </c>
      <c r="Z48" s="646" t="str">
        <f>VLOOKUP(W48,'[85]New local market'!$B:$E,4,FALSE)</f>
        <v>LB66L3K0_1</v>
      </c>
      <c r="AA48" s="646">
        <f t="shared" si="3"/>
        <v>772.39440443919909</v>
      </c>
      <c r="AC48" s="644" t="s">
        <v>640</v>
      </c>
      <c r="AD48" s="647">
        <v>159152.91460958993</v>
      </c>
      <c r="AE48" s="648">
        <v>2300</v>
      </c>
      <c r="AF48" s="151">
        <f t="shared" si="4"/>
        <v>159.15291460958994</v>
      </c>
      <c r="AH48" s="649" t="s">
        <v>639</v>
      </c>
      <c r="AI48" s="645">
        <v>2546120.9147933763</v>
      </c>
      <c r="AJ48" s="645">
        <v>16229</v>
      </c>
      <c r="AK48" s="108" t="b">
        <f t="shared" si="5"/>
        <v>1</v>
      </c>
      <c r="AL48" s="127">
        <f t="shared" si="6"/>
        <v>156.88711040688744</v>
      </c>
    </row>
    <row r="49" spans="1:38" ht="15.75">
      <c r="B49" s="108" t="s">
        <v>637</v>
      </c>
      <c r="C49" s="108">
        <v>1772</v>
      </c>
      <c r="D49" s="127">
        <v>150.68474318481495</v>
      </c>
      <c r="H49" s="108" t="s">
        <v>641</v>
      </c>
      <c r="I49" s="127">
        <f t="shared" si="0"/>
        <v>1537.4749935870218</v>
      </c>
      <c r="J49" s="509">
        <f t="shared" si="1"/>
        <v>0.12788705938679451</v>
      </c>
      <c r="Q49" s="644" t="s">
        <v>641</v>
      </c>
      <c r="R49" s="645">
        <v>1537474.9935870217</v>
      </c>
      <c r="S49" s="646">
        <f t="shared" si="2"/>
        <v>1537.4749935870218</v>
      </c>
      <c r="T49" s="645"/>
      <c r="U49" s="645"/>
      <c r="V49" s="645"/>
      <c r="W49" s="644" t="s">
        <v>642</v>
      </c>
      <c r="X49" s="647">
        <v>736472.76613719168</v>
      </c>
      <c r="Y49" s="648">
        <v>6766</v>
      </c>
      <c r="Z49" s="646" t="e">
        <f>VLOOKUP(W49,'[85]New local market'!$B:$E,4,FALSE)</f>
        <v>#N/A</v>
      </c>
      <c r="AA49" s="646">
        <f t="shared" si="3"/>
        <v>736.47276613719168</v>
      </c>
      <c r="AC49" s="644" t="s">
        <v>637</v>
      </c>
      <c r="AD49" s="647">
        <v>150684.74318481496</v>
      </c>
      <c r="AE49" s="648">
        <v>1772</v>
      </c>
      <c r="AF49" s="151">
        <f t="shared" si="4"/>
        <v>150.68474318481495</v>
      </c>
      <c r="AH49" s="649" t="s">
        <v>642</v>
      </c>
      <c r="AI49" s="645">
        <v>2427708.8262946387</v>
      </c>
      <c r="AJ49" s="645">
        <v>6766</v>
      </c>
      <c r="AK49" s="108" t="b">
        <f t="shared" si="5"/>
        <v>1</v>
      </c>
      <c r="AL49" s="127">
        <f t="shared" si="6"/>
        <v>358.81005413754639</v>
      </c>
    </row>
    <row r="50" spans="1:38" ht="15.75">
      <c r="B50" s="108" t="s">
        <v>666</v>
      </c>
      <c r="C50" s="108">
        <v>1999</v>
      </c>
      <c r="D50" s="127">
        <v>109.85782267741972</v>
      </c>
      <c r="Q50" s="650"/>
      <c r="R50" s="646"/>
      <c r="S50" s="646"/>
      <c r="T50" s="646"/>
      <c r="U50" s="646"/>
      <c r="V50" s="646"/>
      <c r="W50" s="644" t="s">
        <v>644</v>
      </c>
      <c r="X50" s="647">
        <v>594363.05148570263</v>
      </c>
      <c r="Y50" s="648">
        <v>15254</v>
      </c>
      <c r="Z50" s="646" t="str">
        <f>VLOOKUP(W50,'[85]New local market'!$B:$E,4,FALSE)</f>
        <v>LB55L1F0_1</v>
      </c>
      <c r="AA50" s="646">
        <f t="shared" si="3"/>
        <v>594.36305148570261</v>
      </c>
      <c r="AC50" s="644" t="s">
        <v>666</v>
      </c>
      <c r="AD50" s="647">
        <v>109857.82267741972</v>
      </c>
      <c r="AE50" s="648">
        <v>1999</v>
      </c>
      <c r="AF50" s="151">
        <f t="shared" si="4"/>
        <v>109.85782267741972</v>
      </c>
      <c r="AH50" s="649" t="s">
        <v>644</v>
      </c>
      <c r="AI50" s="645">
        <v>1959258.3629174703</v>
      </c>
      <c r="AJ50" s="645">
        <v>15254</v>
      </c>
      <c r="AK50" s="108" t="b">
        <f t="shared" si="5"/>
        <v>1</v>
      </c>
      <c r="AL50" s="127">
        <f t="shared" si="6"/>
        <v>128.44226844876559</v>
      </c>
    </row>
    <row r="51" spans="1:38" ht="15.75">
      <c r="B51" s="108" t="s">
        <v>649</v>
      </c>
      <c r="C51" s="108">
        <v>1881</v>
      </c>
      <c r="D51" s="127">
        <v>105.07515833103356</v>
      </c>
      <c r="Q51" s="651"/>
      <c r="R51" s="645"/>
      <c r="S51" s="645"/>
      <c r="T51" s="645"/>
      <c r="U51" s="645"/>
      <c r="V51" s="645"/>
      <c r="W51" s="644" t="s">
        <v>648</v>
      </c>
      <c r="X51" s="647">
        <v>545347.57510451891</v>
      </c>
      <c r="Y51" s="648">
        <v>5519</v>
      </c>
      <c r="Z51" s="646" t="e">
        <f>VLOOKUP(W51,'[85]New local market'!$B:$E,4,FALSE)</f>
        <v>#N/A</v>
      </c>
      <c r="AA51" s="646">
        <f t="shared" si="3"/>
        <v>545.34757510451891</v>
      </c>
      <c r="AC51" s="644" t="s">
        <v>649</v>
      </c>
      <c r="AD51" s="647">
        <v>105075.15833103357</v>
      </c>
      <c r="AE51" s="648">
        <v>1881</v>
      </c>
      <c r="AF51" s="151">
        <f t="shared" si="4"/>
        <v>105.07515833103356</v>
      </c>
      <c r="AH51" s="649" t="s">
        <v>648</v>
      </c>
      <c r="AI51" s="645">
        <v>1797683.7465745362</v>
      </c>
      <c r="AJ51" s="645">
        <v>5519</v>
      </c>
      <c r="AK51" s="108" t="b">
        <f t="shared" si="5"/>
        <v>1</v>
      </c>
      <c r="AL51" s="127">
        <f t="shared" si="6"/>
        <v>325.72635379136369</v>
      </c>
    </row>
    <row r="52" spans="1:38" ht="15.75">
      <c r="B52" s="108" t="s">
        <v>645</v>
      </c>
      <c r="C52" s="108">
        <v>2166</v>
      </c>
      <c r="D52" s="127">
        <v>104.95056558625406</v>
      </c>
      <c r="Q52" s="651"/>
      <c r="R52" s="645"/>
      <c r="S52" s="645"/>
      <c r="T52" s="645"/>
      <c r="U52" s="645"/>
      <c r="V52" s="645"/>
      <c r="W52" s="644" t="s">
        <v>646</v>
      </c>
      <c r="X52" s="647">
        <v>499568.67984422168</v>
      </c>
      <c r="Y52" s="648">
        <v>10824</v>
      </c>
      <c r="Z52" s="646" t="str">
        <f>VLOOKUP(W52,'[85]New local market'!$B:$E,4,FALSE)</f>
        <v>MSP55M10FL4_1</v>
      </c>
      <c r="AA52" s="646">
        <f t="shared" si="3"/>
        <v>499.56867984422166</v>
      </c>
      <c r="AC52" s="644" t="s">
        <v>645</v>
      </c>
      <c r="AD52" s="647">
        <v>104950.56558625406</v>
      </c>
      <c r="AE52" s="648">
        <v>2166</v>
      </c>
      <c r="AF52" s="151">
        <f t="shared" si="4"/>
        <v>104.95056558625406</v>
      </c>
      <c r="AH52" s="649" t="s">
        <v>646</v>
      </c>
      <c r="AI52" s="645">
        <v>1646778.1962384924</v>
      </c>
      <c r="AJ52" s="645">
        <v>10824</v>
      </c>
      <c r="AK52" s="108" t="b">
        <f t="shared" si="5"/>
        <v>1</v>
      </c>
      <c r="AL52" s="127">
        <f t="shared" si="6"/>
        <v>152.14137067983114</v>
      </c>
    </row>
    <row r="53" spans="1:38" ht="15.75">
      <c r="B53" s="108" t="s">
        <v>652</v>
      </c>
      <c r="C53" s="108">
        <v>1259</v>
      </c>
      <c r="D53" s="127">
        <v>102.70444555518061</v>
      </c>
      <c r="Q53" s="650"/>
      <c r="R53" s="646"/>
      <c r="S53" s="646"/>
      <c r="T53" s="646"/>
      <c r="U53" s="646"/>
      <c r="V53" s="646"/>
      <c r="W53" s="644" t="s">
        <v>650</v>
      </c>
      <c r="X53" s="647">
        <v>487086.30640988494</v>
      </c>
      <c r="Y53" s="648">
        <v>13796</v>
      </c>
      <c r="Z53" s="646" t="str">
        <f>VLOOKUP(W53,'[85]New local market'!$B:$E,4,FALSE)</f>
        <v>LB44L1K0_1</v>
      </c>
      <c r="AA53" s="646">
        <f t="shared" si="3"/>
        <v>487.08630640988497</v>
      </c>
      <c r="AC53" s="644" t="s">
        <v>652</v>
      </c>
      <c r="AD53" s="647">
        <v>102704.44555518062</v>
      </c>
      <c r="AE53" s="648">
        <v>1259</v>
      </c>
      <c r="AF53" s="151">
        <f t="shared" si="4"/>
        <v>102.70444555518061</v>
      </c>
      <c r="AH53" s="649" t="s">
        <v>650</v>
      </c>
      <c r="AI53" s="645">
        <v>1605631.3004495448</v>
      </c>
      <c r="AJ53" s="645">
        <v>13796</v>
      </c>
      <c r="AK53" s="108" t="b">
        <f t="shared" si="5"/>
        <v>1</v>
      </c>
      <c r="AL53" s="127">
        <f t="shared" si="6"/>
        <v>116.3838286785695</v>
      </c>
    </row>
    <row r="54" spans="1:38" ht="15.75">
      <c r="Q54" s="651"/>
      <c r="R54" s="645"/>
      <c r="S54" s="645"/>
      <c r="T54" s="645"/>
      <c r="U54" s="645"/>
      <c r="V54" s="645"/>
      <c r="W54" s="644" t="s">
        <v>651</v>
      </c>
      <c r="X54" s="647">
        <v>460511.11033086642</v>
      </c>
      <c r="Y54" s="648">
        <v>10956</v>
      </c>
      <c r="Z54" s="646" t="str">
        <f>VLOOKUP(W54,'[85]New local market'!$B:$E,4,FALSE)</f>
        <v>LB55L2K0_1</v>
      </c>
      <c r="AA54" s="646">
        <f t="shared" si="3"/>
        <v>460.51111033086642</v>
      </c>
      <c r="AC54" s="644" t="s">
        <v>654</v>
      </c>
      <c r="AD54" s="645">
        <v>99045.495221448247</v>
      </c>
      <c r="AE54" s="645">
        <v>1647</v>
      </c>
      <c r="AH54" s="649" t="s">
        <v>651</v>
      </c>
      <c r="AI54" s="645">
        <v>1518028.8240946683</v>
      </c>
      <c r="AJ54" s="645">
        <v>10956</v>
      </c>
      <c r="AK54" s="108" t="b">
        <f t="shared" si="5"/>
        <v>1</v>
      </c>
      <c r="AL54" s="127">
        <f t="shared" si="6"/>
        <v>138.55684776329576</v>
      </c>
    </row>
    <row r="55" spans="1:38" ht="15.75">
      <c r="H55" s="108" t="s">
        <v>2008</v>
      </c>
      <c r="I55" s="108" t="s">
        <v>2009</v>
      </c>
      <c r="Q55" s="651"/>
      <c r="R55" s="645"/>
      <c r="S55" s="645"/>
      <c r="T55" s="645"/>
      <c r="U55" s="645"/>
      <c r="V55" s="645"/>
      <c r="W55" s="644" t="s">
        <v>653</v>
      </c>
      <c r="X55" s="647">
        <v>400860.52305561519</v>
      </c>
      <c r="Y55" s="648">
        <v>5276</v>
      </c>
      <c r="Z55" s="646" t="e">
        <f>VLOOKUP(W55,'[85]New local market'!$B:$E,4,FALSE)</f>
        <v>#N/A</v>
      </c>
      <c r="AA55" s="646">
        <f t="shared" si="3"/>
        <v>400.8605230556152</v>
      </c>
      <c r="AC55" s="644" t="s">
        <v>647</v>
      </c>
      <c r="AD55" s="645">
        <v>98288.56837672375</v>
      </c>
      <c r="AE55" s="645">
        <v>2185</v>
      </c>
      <c r="AH55" s="649" t="s">
        <v>653</v>
      </c>
      <c r="AI55" s="645">
        <v>1321396.6282005301</v>
      </c>
      <c r="AJ55" s="645">
        <v>5276</v>
      </c>
      <c r="AK55" s="108" t="b">
        <f t="shared" si="5"/>
        <v>1</v>
      </c>
      <c r="AL55" s="127">
        <f t="shared" si="6"/>
        <v>250.45425098569561</v>
      </c>
    </row>
    <row r="56" spans="1:38" ht="16.5" thickBot="1">
      <c r="B56" s="108" t="s">
        <v>119</v>
      </c>
      <c r="C56" s="313">
        <f>SUM(C44:C55)</f>
        <v>32085</v>
      </c>
      <c r="D56" s="313">
        <f>SUM(D44:D55)</f>
        <v>1723.459673249311</v>
      </c>
      <c r="G56" s="108" t="s">
        <v>2010</v>
      </c>
      <c r="H56" s="127">
        <v>194019</v>
      </c>
      <c r="I56" s="127">
        <v>10009512.617715195</v>
      </c>
      <c r="J56" s="763">
        <f>I56/H56</f>
        <v>51.590373199094905</v>
      </c>
      <c r="Q56" s="650"/>
      <c r="R56" s="646"/>
      <c r="S56" s="646"/>
      <c r="T56" s="646"/>
      <c r="U56" s="646"/>
      <c r="V56" s="646"/>
      <c r="W56" s="644" t="s">
        <v>655</v>
      </c>
      <c r="X56" s="647">
        <v>332614.6071325622</v>
      </c>
      <c r="Y56" s="645">
        <v>2650</v>
      </c>
      <c r="Z56" s="646" t="e">
        <f>VLOOKUP(W56,'[85]New local market'!$B:$E,4,FALSE)</f>
        <v>#N/A</v>
      </c>
      <c r="AA56" s="646">
        <f t="shared" si="3"/>
        <v>332.61460713256218</v>
      </c>
      <c r="AC56" s="644" t="s">
        <v>662</v>
      </c>
      <c r="AD56" s="645">
        <v>91021.768038391994</v>
      </c>
      <c r="AE56" s="645">
        <v>1838</v>
      </c>
      <c r="AH56" s="649" t="s">
        <v>655</v>
      </c>
      <c r="AI56" s="645">
        <v>1096430.7909517782</v>
      </c>
      <c r="AJ56" s="645">
        <v>2650</v>
      </c>
      <c r="AK56" s="108" t="b">
        <f t="shared" si="5"/>
        <v>1</v>
      </c>
      <c r="AL56" s="127">
        <f t="shared" si="6"/>
        <v>413.7474682836899</v>
      </c>
    </row>
    <row r="57" spans="1:38" ht="16.5" thickTop="1">
      <c r="H57" s="764">
        <f>C58/H56</f>
        <v>1.1037991124580582</v>
      </c>
      <c r="I57" s="764">
        <f>D58*1000/I56</f>
        <v>1.2010705771978114</v>
      </c>
      <c r="Q57" s="651"/>
      <c r="R57" s="645"/>
      <c r="S57" s="645"/>
      <c r="T57" s="645"/>
      <c r="U57" s="645"/>
      <c r="V57" s="645"/>
      <c r="W57" s="644" t="s">
        <v>657</v>
      </c>
      <c r="X57" s="647">
        <v>299844.10444328742</v>
      </c>
      <c r="Y57" s="645">
        <v>3922</v>
      </c>
      <c r="Z57" s="646" t="str">
        <f>VLOOKUP(W57,'[85]New local market'!$B:$E,4,FALSE)</f>
        <v>LB90L5F0_1</v>
      </c>
      <c r="AA57" s="646">
        <f t="shared" si="3"/>
        <v>299.84410444328739</v>
      </c>
      <c r="AC57" s="644" t="s">
        <v>660</v>
      </c>
      <c r="AD57" s="645">
        <v>89717.384072858767</v>
      </c>
      <c r="AE57" s="645">
        <v>1192</v>
      </c>
      <c r="AH57" s="649" t="s">
        <v>657</v>
      </c>
      <c r="AI57" s="645">
        <v>988406.10588685272</v>
      </c>
      <c r="AJ57" s="645">
        <v>3922</v>
      </c>
      <c r="AK57" s="108" t="b">
        <f t="shared" si="5"/>
        <v>1</v>
      </c>
      <c r="AL57" s="127">
        <f t="shared" si="6"/>
        <v>252.01583525926893</v>
      </c>
    </row>
    <row r="58" spans="1:38" ht="15.75">
      <c r="B58" s="108" t="s">
        <v>479</v>
      </c>
      <c r="C58" s="508">
        <v>214158</v>
      </c>
      <c r="D58" s="119">
        <v>12022.131097227964</v>
      </c>
      <c r="E58" s="763">
        <f>D58*1000/C58</f>
        <v>56.136735948355721</v>
      </c>
      <c r="F58" s="108">
        <f>E58/J56</f>
        <v>1.0881242461983309</v>
      </c>
      <c r="H58" s="508">
        <f>C58-H56</f>
        <v>20139</v>
      </c>
      <c r="I58" s="508">
        <f>D58*1000-I56</f>
        <v>2012618.4795127697</v>
      </c>
      <c r="Q58" s="651"/>
      <c r="R58" s="645"/>
      <c r="S58" s="645"/>
      <c r="T58" s="645"/>
      <c r="U58" s="645"/>
      <c r="V58" s="645"/>
      <c r="W58" s="644" t="s">
        <v>659</v>
      </c>
      <c r="X58" s="647">
        <v>240481.73429619859</v>
      </c>
      <c r="Y58" s="648">
        <v>4911</v>
      </c>
      <c r="Z58" s="646" t="e">
        <f>VLOOKUP(W58,'[85]New local market'!$B:$E,4,FALSE)</f>
        <v>#N/A</v>
      </c>
      <c r="AA58" s="646">
        <f t="shared" si="3"/>
        <v>240.4817342961986</v>
      </c>
      <c r="AC58" s="644" t="s">
        <v>656</v>
      </c>
      <c r="AD58" s="645">
        <v>88970.062044504462</v>
      </c>
      <c r="AE58" s="645">
        <v>1089</v>
      </c>
      <c r="AH58" s="649" t="s">
        <v>659</v>
      </c>
      <c r="AI58" s="645">
        <v>792723.98893398908</v>
      </c>
      <c r="AJ58" s="645">
        <v>4911</v>
      </c>
      <c r="AL58" s="127"/>
    </row>
    <row r="59" spans="1:38" ht="15.75">
      <c r="B59" s="108" t="s">
        <v>480</v>
      </c>
      <c r="C59" s="122">
        <f>C56/C58</f>
        <v>0.14981929229820973</v>
      </c>
      <c r="D59" s="122">
        <f>D56/D58</f>
        <v>0.14335725166453245</v>
      </c>
      <c r="Q59" s="650"/>
      <c r="R59" s="646"/>
      <c r="S59" s="646"/>
      <c r="T59" s="646"/>
      <c r="U59" s="646"/>
      <c r="V59" s="646"/>
      <c r="W59" s="644" t="s">
        <v>661</v>
      </c>
      <c r="X59" s="645">
        <v>235173.03588972884</v>
      </c>
      <c r="Y59" s="648">
        <v>3973</v>
      </c>
      <c r="Z59" s="646"/>
      <c r="AA59" s="646"/>
      <c r="AC59" s="644" t="s">
        <v>670</v>
      </c>
      <c r="AD59" s="645">
        <v>88909.584700459003</v>
      </c>
      <c r="AE59" s="648">
        <v>1608</v>
      </c>
      <c r="AH59" s="649" t="s">
        <v>661</v>
      </c>
      <c r="AI59" s="645">
        <v>775224.39550690225</v>
      </c>
      <c r="AJ59" s="645">
        <v>3973</v>
      </c>
    </row>
    <row r="60" spans="1:38" ht="15.75">
      <c r="B60" s="108" t="s">
        <v>481</v>
      </c>
      <c r="Q60" s="651"/>
      <c r="R60" s="645"/>
      <c r="S60" s="645"/>
      <c r="T60" s="645"/>
      <c r="U60" s="645"/>
      <c r="V60" s="645"/>
      <c r="W60" s="644" t="s">
        <v>663</v>
      </c>
      <c r="X60" s="645">
        <v>222613.15819202125</v>
      </c>
      <c r="Y60" s="648">
        <v>4076</v>
      </c>
      <c r="Z60" s="645"/>
      <c r="AA60" s="645"/>
      <c r="AC60" s="644" t="s">
        <v>643</v>
      </c>
      <c r="AD60" s="645">
        <v>78807.76425132624</v>
      </c>
      <c r="AE60" s="645">
        <v>1300</v>
      </c>
      <c r="AH60" s="649" t="s">
        <v>663</v>
      </c>
      <c r="AI60" s="645">
        <v>733822.01466417895</v>
      </c>
      <c r="AJ60" s="645">
        <v>4076</v>
      </c>
    </row>
    <row r="61" spans="1:38" ht="15.75">
      <c r="B61" s="108" t="s">
        <v>482</v>
      </c>
      <c r="D61" s="122" t="e">
        <f>D56/E56</f>
        <v>#DIV/0!</v>
      </c>
      <c r="Q61" s="651"/>
      <c r="R61" s="645"/>
      <c r="S61" s="645"/>
      <c r="T61" s="645"/>
      <c r="U61" s="645"/>
      <c r="V61" s="645"/>
      <c r="W61" s="644" t="s">
        <v>665</v>
      </c>
      <c r="X61" s="645">
        <v>209607.42099291628</v>
      </c>
      <c r="Y61" s="645">
        <v>1282</v>
      </c>
      <c r="Z61" s="645"/>
      <c r="AA61" s="645"/>
      <c r="AC61" s="644" t="s">
        <v>658</v>
      </c>
      <c r="AD61" s="645">
        <v>77505.13630370122</v>
      </c>
      <c r="AE61" s="645">
        <v>1105</v>
      </c>
      <c r="AH61" s="649" t="s">
        <v>665</v>
      </c>
      <c r="AI61" s="645">
        <v>690949.90256104921</v>
      </c>
      <c r="AJ61" s="645">
        <v>1282</v>
      </c>
    </row>
    <row r="62" spans="1:38" ht="15.75">
      <c r="W62" s="644" t="s">
        <v>669</v>
      </c>
      <c r="X62" s="645">
        <v>196012.45361994201</v>
      </c>
      <c r="Y62" s="645">
        <v>2810</v>
      </c>
      <c r="AC62" s="644" t="s">
        <v>664</v>
      </c>
      <c r="AD62" s="645">
        <v>76866.9634172519</v>
      </c>
      <c r="AE62" s="645">
        <v>1234</v>
      </c>
      <c r="AH62" s="649" t="s">
        <v>669</v>
      </c>
      <c r="AI62" s="645">
        <v>646135.45211277693</v>
      </c>
      <c r="AJ62" s="645">
        <v>2810</v>
      </c>
    </row>
    <row r="63" spans="1:38" ht="15.75">
      <c r="A63" s="108" t="s">
        <v>483</v>
      </c>
      <c r="B63" s="108" t="s">
        <v>484</v>
      </c>
      <c r="C63" s="122">
        <v>0.9</v>
      </c>
      <c r="W63" s="644" t="s">
        <v>667</v>
      </c>
      <c r="X63" s="645">
        <v>183476.57040569035</v>
      </c>
      <c r="Y63" s="645">
        <v>2578</v>
      </c>
      <c r="AC63" s="644" t="s">
        <v>668</v>
      </c>
      <c r="AD63" s="645">
        <v>75779.224177935845</v>
      </c>
      <c r="AE63" s="645">
        <v>1578</v>
      </c>
      <c r="AH63" s="649" t="s">
        <v>667</v>
      </c>
      <c r="AI63" s="645">
        <v>604812.16668531776</v>
      </c>
      <c r="AJ63" s="645">
        <v>2578</v>
      </c>
    </row>
    <row r="64" spans="1:38" ht="15.75">
      <c r="B64" s="108" t="s">
        <v>485</v>
      </c>
      <c r="C64" s="122">
        <f>1-C63</f>
        <v>9.9999999999999978E-2</v>
      </c>
      <c r="W64" s="644" t="s">
        <v>671</v>
      </c>
      <c r="X64" s="645">
        <v>166896.79288583688</v>
      </c>
      <c r="Y64" s="645">
        <v>2111</v>
      </c>
      <c r="AC64" s="644" t="s">
        <v>672</v>
      </c>
      <c r="AD64" s="645">
        <v>70649.837805239542</v>
      </c>
      <c r="AE64" s="645">
        <v>1331</v>
      </c>
      <c r="AH64" s="649" t="s">
        <v>671</v>
      </c>
      <c r="AI64" s="645">
        <v>550158.58806887269</v>
      </c>
      <c r="AJ64" s="645">
        <v>2111</v>
      </c>
    </row>
    <row r="65" spans="23:36" ht="15.75">
      <c r="W65" s="644" t="s">
        <v>673</v>
      </c>
      <c r="X65" s="645">
        <v>152095.04846524165</v>
      </c>
      <c r="Y65" s="645">
        <v>1093</v>
      </c>
      <c r="AC65" s="644" t="s">
        <v>688</v>
      </c>
      <c r="AD65" s="645">
        <v>66490.572955955591</v>
      </c>
      <c r="AE65" s="645">
        <v>1167</v>
      </c>
      <c r="AH65" s="649" t="s">
        <v>673</v>
      </c>
      <c r="AI65" s="645">
        <v>501366.11776082258</v>
      </c>
      <c r="AJ65" s="645">
        <v>1093</v>
      </c>
    </row>
    <row r="66" spans="23:36" ht="15.75">
      <c r="W66" s="644" t="s">
        <v>675</v>
      </c>
      <c r="X66" s="645">
        <v>121605.84613065129</v>
      </c>
      <c r="Y66" s="645">
        <v>1359</v>
      </c>
      <c r="AC66" s="644" t="s">
        <v>682</v>
      </c>
      <c r="AD66" s="645">
        <v>66357.363563419247</v>
      </c>
      <c r="AE66" s="645">
        <v>1329</v>
      </c>
      <c r="AH66" s="649" t="s">
        <v>675</v>
      </c>
      <c r="AI66" s="645">
        <v>400861.51118507894</v>
      </c>
      <c r="AJ66" s="645">
        <v>1359</v>
      </c>
    </row>
    <row r="67" spans="23:36" ht="15.75">
      <c r="W67" s="644" t="s">
        <v>677</v>
      </c>
      <c r="X67" s="645">
        <v>118358.93563828181</v>
      </c>
      <c r="Y67" s="645">
        <v>3141</v>
      </c>
      <c r="AC67" s="644" t="s">
        <v>676</v>
      </c>
      <c r="AD67" s="645">
        <v>65878.959246879851</v>
      </c>
      <c r="AE67" s="645">
        <v>1334</v>
      </c>
      <c r="AH67" s="649" t="s">
        <v>677</v>
      </c>
      <c r="AI67" s="645">
        <v>390158.39543803217</v>
      </c>
      <c r="AJ67" s="645">
        <v>3141</v>
      </c>
    </row>
    <row r="68" spans="23:36" ht="15.75">
      <c r="W68" s="644" t="s">
        <v>683</v>
      </c>
      <c r="X68" s="645">
        <v>111372.83403963852</v>
      </c>
      <c r="Y68" s="645">
        <v>2563</v>
      </c>
      <c r="AC68" s="644" t="s">
        <v>678</v>
      </c>
      <c r="AD68" s="645">
        <v>64085.058007011998</v>
      </c>
      <c r="AE68" s="645">
        <v>1100</v>
      </c>
      <c r="AH68" s="649" t="s">
        <v>683</v>
      </c>
      <c r="AI68" s="645">
        <v>367129.41012826446</v>
      </c>
      <c r="AJ68" s="645">
        <v>2563</v>
      </c>
    </row>
    <row r="69" spans="23:36" ht="15.75">
      <c r="W69" s="644" t="s">
        <v>679</v>
      </c>
      <c r="X69" s="645">
        <v>104061.40482557038</v>
      </c>
      <c r="Y69" s="645">
        <v>1312</v>
      </c>
      <c r="AC69" s="644" t="s">
        <v>680</v>
      </c>
      <c r="AD69" s="645">
        <v>63004.270205349989</v>
      </c>
      <c r="AE69" s="645">
        <v>1250</v>
      </c>
      <c r="AH69" s="649" t="s">
        <v>679</v>
      </c>
      <c r="AI69" s="645">
        <v>343028.01486701024</v>
      </c>
      <c r="AJ69" s="645">
        <v>1312</v>
      </c>
    </row>
    <row r="70" spans="23:36" ht="15.75">
      <c r="W70" s="644" t="s">
        <v>681</v>
      </c>
      <c r="X70" s="645">
        <v>100240.75388672453</v>
      </c>
      <c r="Y70" s="645">
        <v>1349</v>
      </c>
      <c r="AC70" s="644" t="s">
        <v>694</v>
      </c>
      <c r="AD70" s="645">
        <v>61529.11819120335</v>
      </c>
      <c r="AE70" s="645">
        <v>785</v>
      </c>
      <c r="AH70" s="649" t="s">
        <v>681</v>
      </c>
      <c r="AI70" s="645">
        <v>330433.62111219874</v>
      </c>
      <c r="AJ70" s="645">
        <v>1349</v>
      </c>
    </row>
    <row r="71" spans="23:36" ht="15.75">
      <c r="W71" s="644" t="s">
        <v>685</v>
      </c>
      <c r="X71" s="645">
        <v>82505.651234246499</v>
      </c>
      <c r="Y71" s="645">
        <v>1034</v>
      </c>
      <c r="AC71" s="644" t="s">
        <v>674</v>
      </c>
      <c r="AD71" s="645">
        <v>60411.024500935309</v>
      </c>
      <c r="AE71" s="645">
        <v>1119</v>
      </c>
      <c r="AH71" s="649" t="s">
        <v>685</v>
      </c>
      <c r="AI71" s="645">
        <v>271971.62872857018</v>
      </c>
      <c r="AJ71" s="645">
        <v>1034</v>
      </c>
    </row>
    <row r="72" spans="23:36" ht="15.75">
      <c r="W72" s="644" t="s">
        <v>687</v>
      </c>
      <c r="X72" s="645">
        <v>75259.39447425722</v>
      </c>
      <c r="Y72" s="645">
        <v>702</v>
      </c>
      <c r="AC72" s="644" t="s">
        <v>684</v>
      </c>
      <c r="AD72" s="645">
        <v>58177.480298058996</v>
      </c>
      <c r="AE72" s="645">
        <v>1188</v>
      </c>
      <c r="AH72" s="649" t="s">
        <v>687</v>
      </c>
      <c r="AI72" s="645">
        <v>248085.06794494152</v>
      </c>
      <c r="AJ72" s="645">
        <v>702</v>
      </c>
    </row>
    <row r="73" spans="23:36" ht="15.75">
      <c r="W73" s="644" t="s">
        <v>1831</v>
      </c>
      <c r="X73" s="645">
        <v>73152.613228665112</v>
      </c>
      <c r="Y73" s="645">
        <v>1450</v>
      </c>
      <c r="AC73" s="644" t="s">
        <v>706</v>
      </c>
      <c r="AD73" s="645">
        <v>57889.590015638889</v>
      </c>
      <c r="AE73" s="645">
        <v>1214</v>
      </c>
      <c r="AH73" s="649" t="s">
        <v>1831</v>
      </c>
      <c r="AI73" s="645">
        <v>241140.2742469717</v>
      </c>
      <c r="AJ73" s="645">
        <v>1450</v>
      </c>
    </row>
    <row r="74" spans="23:36" ht="15.75">
      <c r="W74" s="644" t="s">
        <v>691</v>
      </c>
      <c r="X74" s="645">
        <v>53621.337223636154</v>
      </c>
      <c r="Y74" s="645">
        <v>1368</v>
      </c>
      <c r="AC74" s="644" t="s">
        <v>690</v>
      </c>
      <c r="AD74" s="645">
        <v>57585.264174664968</v>
      </c>
      <c r="AE74" s="645">
        <v>901</v>
      </c>
      <c r="AH74" s="649" t="s">
        <v>691</v>
      </c>
      <c r="AI74" s="645">
        <v>176757.37602399423</v>
      </c>
      <c r="AJ74" s="645">
        <v>1368</v>
      </c>
    </row>
    <row r="75" spans="23:36" ht="15.75">
      <c r="W75" s="644" t="s">
        <v>689</v>
      </c>
      <c r="X75" s="645">
        <v>49676.489528073354</v>
      </c>
      <c r="Y75" s="645">
        <v>300</v>
      </c>
      <c r="AC75" s="644" t="s">
        <v>700</v>
      </c>
      <c r="AD75" s="645">
        <v>55237.472836364039</v>
      </c>
      <c r="AE75" s="645">
        <v>1006</v>
      </c>
      <c r="AH75" s="649" t="s">
        <v>689</v>
      </c>
      <c r="AI75" s="645">
        <v>163753.58008034102</v>
      </c>
      <c r="AJ75" s="645">
        <v>300</v>
      </c>
    </row>
    <row r="76" spans="23:36" ht="15.75">
      <c r="W76" s="644" t="s">
        <v>695</v>
      </c>
      <c r="X76" s="645">
        <v>45955.761011110735</v>
      </c>
      <c r="Y76" s="645">
        <v>875</v>
      </c>
      <c r="AC76" s="644" t="s">
        <v>686</v>
      </c>
      <c r="AD76" s="645">
        <v>51122.632956159985</v>
      </c>
      <c r="AE76" s="645">
        <v>983</v>
      </c>
      <c r="AH76" s="649" t="s">
        <v>695</v>
      </c>
      <c r="AI76" s="645">
        <v>151488.57059702545</v>
      </c>
      <c r="AJ76" s="645">
        <v>875</v>
      </c>
    </row>
    <row r="77" spans="23:36" ht="15.75">
      <c r="W77" s="644" t="s">
        <v>697</v>
      </c>
      <c r="X77" s="645">
        <v>44049.567861560026</v>
      </c>
      <c r="Y77" s="645">
        <v>302</v>
      </c>
      <c r="AC77" s="644" t="s">
        <v>710</v>
      </c>
      <c r="AD77" s="645">
        <v>50102.621324093168</v>
      </c>
      <c r="AE77" s="645">
        <v>734</v>
      </c>
      <c r="AH77" s="649" t="s">
        <v>697</v>
      </c>
      <c r="AI77" s="645">
        <v>145204.99549884649</v>
      </c>
      <c r="AJ77" s="645">
        <v>302</v>
      </c>
    </row>
    <row r="78" spans="23:36" ht="15.75">
      <c r="W78" s="644" t="s">
        <v>699</v>
      </c>
      <c r="X78" s="645">
        <v>41968.967563092308</v>
      </c>
      <c r="Y78" s="645">
        <v>705</v>
      </c>
      <c r="AC78" s="644" t="s">
        <v>692</v>
      </c>
      <c r="AD78" s="645">
        <v>47059.865996136294</v>
      </c>
      <c r="AE78" s="645">
        <v>1025</v>
      </c>
      <c r="AH78" s="649" t="s">
        <v>699</v>
      </c>
      <c r="AI78" s="645">
        <v>138346.50467497751</v>
      </c>
      <c r="AJ78" s="645">
        <v>705</v>
      </c>
    </row>
    <row r="79" spans="23:36" ht="15.75">
      <c r="W79" s="644" t="s">
        <v>693</v>
      </c>
      <c r="X79" s="645">
        <v>40023.595545470307</v>
      </c>
      <c r="Y79" s="645">
        <v>855</v>
      </c>
      <c r="AC79" s="644" t="s">
        <v>747</v>
      </c>
      <c r="AD79" s="645">
        <v>46237.694489589412</v>
      </c>
      <c r="AE79" s="645">
        <v>865</v>
      </c>
      <c r="AH79" s="649" t="s">
        <v>693</v>
      </c>
      <c r="AI79" s="645">
        <v>131933.78035608833</v>
      </c>
      <c r="AJ79" s="645">
        <v>855</v>
      </c>
    </row>
    <row r="80" spans="23:36" ht="15.75">
      <c r="W80" s="644" t="s">
        <v>701</v>
      </c>
      <c r="X80" s="645">
        <v>30351.537231813367</v>
      </c>
      <c r="Y80" s="645">
        <v>553</v>
      </c>
      <c r="AC80" s="644" t="s">
        <v>749</v>
      </c>
      <c r="AD80" s="645">
        <v>46204.992972718814</v>
      </c>
      <c r="AE80" s="645">
        <v>916</v>
      </c>
      <c r="AH80" s="649" t="s">
        <v>701</v>
      </c>
      <c r="AI80" s="645">
        <v>100050.8073309496</v>
      </c>
      <c r="AJ80" s="645">
        <v>553</v>
      </c>
    </row>
    <row r="81" spans="23:36" ht="15.75">
      <c r="W81" s="644" t="s">
        <v>707</v>
      </c>
      <c r="X81" s="645">
        <v>27108.308806844227</v>
      </c>
      <c r="Y81" s="645">
        <v>559</v>
      </c>
      <c r="AC81" s="644" t="s">
        <v>708</v>
      </c>
      <c r="AD81" s="645">
        <v>46134.560424396623</v>
      </c>
      <c r="AE81" s="645">
        <v>825</v>
      </c>
      <c r="AH81" s="649" t="s">
        <v>707</v>
      </c>
      <c r="AI81" s="645">
        <v>89359.829150881313</v>
      </c>
      <c r="AJ81" s="645">
        <v>559</v>
      </c>
    </row>
    <row r="82" spans="23:36" ht="15.75">
      <c r="W82" s="644" t="s">
        <v>705</v>
      </c>
      <c r="X82" s="645">
        <v>24814.811447057749</v>
      </c>
      <c r="Y82" s="645">
        <v>532</v>
      </c>
      <c r="AC82" s="644" t="s">
        <v>722</v>
      </c>
      <c r="AD82" s="645">
        <v>45971.86164177733</v>
      </c>
      <c r="AE82" s="645">
        <v>576</v>
      </c>
      <c r="AH82" s="649" t="s">
        <v>705</v>
      </c>
      <c r="AI82" s="645">
        <v>81799.544454081173</v>
      </c>
      <c r="AJ82" s="645">
        <v>532</v>
      </c>
    </row>
    <row r="83" spans="23:36" ht="15.75">
      <c r="W83" s="644" t="s">
        <v>703</v>
      </c>
      <c r="X83" s="645">
        <v>23163.795907311447</v>
      </c>
      <c r="Y83" s="645">
        <v>435</v>
      </c>
      <c r="AC83" s="644" t="s">
        <v>698</v>
      </c>
      <c r="AD83" s="645">
        <v>44160.669150491056</v>
      </c>
      <c r="AE83" s="645">
        <v>877</v>
      </c>
      <c r="AH83" s="649" t="s">
        <v>703</v>
      </c>
      <c r="AI83" s="645">
        <v>76357.136828861461</v>
      </c>
      <c r="AJ83" s="645">
        <v>435</v>
      </c>
    </row>
    <row r="84" spans="23:36" ht="15.75">
      <c r="W84" s="644" t="s">
        <v>709</v>
      </c>
      <c r="X84" s="645">
        <v>21660.709855570203</v>
      </c>
      <c r="Y84" s="645">
        <v>611</v>
      </c>
      <c r="AC84" s="644" t="s">
        <v>716</v>
      </c>
      <c r="AD84" s="645">
        <v>43969.663150470733</v>
      </c>
      <c r="AE84" s="645">
        <v>815</v>
      </c>
      <c r="AH84" s="649" t="s">
        <v>709</v>
      </c>
      <c r="AI84" s="645">
        <v>71402.36396790162</v>
      </c>
      <c r="AJ84" s="645">
        <v>611</v>
      </c>
    </row>
    <row r="85" spans="23:36" ht="15.75">
      <c r="W85" s="644" t="s">
        <v>711</v>
      </c>
      <c r="X85" s="645">
        <v>20174.072472478616</v>
      </c>
      <c r="Y85" s="645">
        <v>269</v>
      </c>
      <c r="AC85" s="644" t="s">
        <v>704</v>
      </c>
      <c r="AD85" s="645">
        <v>43927.594748193369</v>
      </c>
      <c r="AE85" s="645">
        <v>820</v>
      </c>
      <c r="AH85" s="649" t="s">
        <v>711</v>
      </c>
      <c r="AI85" s="645">
        <v>66501.812498278508</v>
      </c>
      <c r="AJ85" s="645">
        <v>269</v>
      </c>
    </row>
    <row r="86" spans="23:36" ht="15.75">
      <c r="W86" s="644" t="s">
        <v>713</v>
      </c>
      <c r="X86" s="645">
        <v>18793.640926885586</v>
      </c>
      <c r="Y86" s="645">
        <v>507</v>
      </c>
      <c r="AC86" s="644" t="s">
        <v>738</v>
      </c>
      <c r="AD86" s="645">
        <v>43158.800711416414</v>
      </c>
      <c r="AE86" s="645">
        <v>799</v>
      </c>
      <c r="AH86" s="649" t="s">
        <v>713</v>
      </c>
      <c r="AI86" s="645">
        <v>61951.357951385653</v>
      </c>
      <c r="AJ86" s="645">
        <v>507</v>
      </c>
    </row>
    <row r="87" spans="23:36" ht="15.75">
      <c r="W87" s="644" t="s">
        <v>715</v>
      </c>
      <c r="X87" s="645">
        <v>13706.167262580113</v>
      </c>
      <c r="Y87" s="645">
        <v>248</v>
      </c>
      <c r="AC87" s="644" t="s">
        <v>696</v>
      </c>
      <c r="AD87" s="645">
        <v>41417.775750513691</v>
      </c>
      <c r="AE87" s="645">
        <v>837</v>
      </c>
      <c r="AH87" s="649" t="s">
        <v>715</v>
      </c>
      <c r="AI87" s="645">
        <v>45181.00976436909</v>
      </c>
      <c r="AJ87" s="645">
        <v>248</v>
      </c>
    </row>
    <row r="88" spans="23:36" ht="15.75">
      <c r="W88" s="644" t="s">
        <v>1832</v>
      </c>
      <c r="X88" s="645">
        <v>13101.44064375008</v>
      </c>
      <c r="Y88" s="645">
        <v>162</v>
      </c>
      <c r="AC88" s="644" t="s">
        <v>714</v>
      </c>
      <c r="AD88" s="645">
        <v>41127.027357844454</v>
      </c>
      <c r="AE88" s="645">
        <v>754</v>
      </c>
      <c r="AH88" s="649" t="s">
        <v>1832</v>
      </c>
      <c r="AI88" s="645">
        <v>43187.588938057765</v>
      </c>
      <c r="AJ88" s="645">
        <v>162</v>
      </c>
    </row>
    <row r="89" spans="23:36" ht="15.75">
      <c r="W89" s="644" t="s">
        <v>717</v>
      </c>
      <c r="X89" s="645">
        <v>10113.20842660452</v>
      </c>
      <c r="Y89" s="645">
        <v>114</v>
      </c>
      <c r="AC89" s="644" t="s">
        <v>797</v>
      </c>
      <c r="AD89" s="645">
        <v>41065.955352488418</v>
      </c>
      <c r="AE89" s="645">
        <v>847</v>
      </c>
      <c r="AH89" s="649" t="s">
        <v>717</v>
      </c>
      <c r="AI89" s="645">
        <v>33337.180257459142</v>
      </c>
      <c r="AJ89" s="645">
        <v>114</v>
      </c>
    </row>
    <row r="90" spans="23:36" ht="15.75">
      <c r="W90" s="644" t="s">
        <v>1833</v>
      </c>
      <c r="X90" s="645">
        <v>9610.6444144613779</v>
      </c>
      <c r="Y90" s="645">
        <v>126</v>
      </c>
      <c r="AC90" s="644" t="s">
        <v>730</v>
      </c>
      <c r="AD90" s="645">
        <v>40670.156879580536</v>
      </c>
      <c r="AE90" s="645">
        <v>791</v>
      </c>
      <c r="AH90" s="649" t="s">
        <v>1833</v>
      </c>
      <c r="AI90" s="645">
        <v>31680.528247830487</v>
      </c>
      <c r="AJ90" s="645">
        <v>126</v>
      </c>
    </row>
    <row r="91" spans="23:36" ht="15.75">
      <c r="W91" s="644" t="s">
        <v>1834</v>
      </c>
      <c r="X91" s="645">
        <v>8457.2690196559452</v>
      </c>
      <c r="Y91" s="645">
        <v>70</v>
      </c>
      <c r="AC91" s="644" t="s">
        <v>702</v>
      </c>
      <c r="AD91" s="645">
        <v>39998.767747079182</v>
      </c>
      <c r="AE91" s="645">
        <v>849</v>
      </c>
      <c r="AH91" s="649" t="s">
        <v>1834</v>
      </c>
      <c r="AI91" s="645">
        <v>27878.541596393861</v>
      </c>
      <c r="AJ91" s="645">
        <v>70</v>
      </c>
    </row>
    <row r="92" spans="23:36" ht="15.75">
      <c r="W92" s="644" t="s">
        <v>1835</v>
      </c>
      <c r="X92" s="645">
        <v>8340.7439207629322</v>
      </c>
      <c r="Y92" s="645">
        <v>40</v>
      </c>
      <c r="AC92" s="644" t="s">
        <v>755</v>
      </c>
      <c r="AD92" s="645">
        <v>39942.350740547685</v>
      </c>
      <c r="AE92" s="645">
        <v>518</v>
      </c>
      <c r="AH92" s="649" t="s">
        <v>1835</v>
      </c>
      <c r="AI92" s="645">
        <v>27494.428260402932</v>
      </c>
      <c r="AJ92" s="645">
        <v>40</v>
      </c>
    </row>
    <row r="93" spans="23:36" ht="15.75">
      <c r="W93" s="644" t="s">
        <v>1836</v>
      </c>
      <c r="X93" s="645">
        <v>5847.2359786575071</v>
      </c>
      <c r="Y93" s="645">
        <v>75</v>
      </c>
      <c r="AC93" s="644" t="s">
        <v>740</v>
      </c>
      <c r="AD93" s="645">
        <v>39569.529902997987</v>
      </c>
      <c r="AE93" s="645">
        <v>705</v>
      </c>
      <c r="AH93" s="649" t="s">
        <v>1836</v>
      </c>
      <c r="AI93" s="645">
        <v>19274.828680046608</v>
      </c>
      <c r="AJ93" s="645">
        <v>75</v>
      </c>
    </row>
    <row r="94" spans="23:36" ht="15.75">
      <c r="W94" s="644" t="s">
        <v>719</v>
      </c>
      <c r="X94" s="645">
        <v>5520.5303731869644</v>
      </c>
      <c r="Y94" s="645">
        <v>71</v>
      </c>
      <c r="AC94" s="644" t="s">
        <v>748</v>
      </c>
      <c r="AD94" s="645">
        <v>39422.666830210663</v>
      </c>
      <c r="AE94" s="645">
        <v>504</v>
      </c>
      <c r="AH94" s="649" t="s">
        <v>719</v>
      </c>
      <c r="AI94" s="645">
        <v>18197.87632217351</v>
      </c>
      <c r="AJ94" s="645">
        <v>71</v>
      </c>
    </row>
    <row r="95" spans="23:36" ht="15.75">
      <c r="W95" s="644" t="s">
        <v>721</v>
      </c>
      <c r="X95" s="645">
        <v>5295.4232528901293</v>
      </c>
      <c r="Y95" s="645">
        <v>118</v>
      </c>
      <c r="AC95" s="644" t="s">
        <v>762</v>
      </c>
      <c r="AD95" s="645">
        <v>39353.665940940176</v>
      </c>
      <c r="AE95" s="645">
        <v>700</v>
      </c>
      <c r="AH95" s="649" t="s">
        <v>721</v>
      </c>
      <c r="AI95" s="645">
        <v>17455.833210827022</v>
      </c>
      <c r="AJ95" s="645">
        <v>118</v>
      </c>
    </row>
    <row r="96" spans="23:36" ht="15.75">
      <c r="W96" s="644" t="s">
        <v>727</v>
      </c>
      <c r="X96" s="645">
        <v>5212.2850367462825</v>
      </c>
      <c r="Y96" s="645">
        <v>124</v>
      </c>
      <c r="AC96" s="644" t="s">
        <v>746</v>
      </c>
      <c r="AD96" s="645">
        <v>39129.841709852524</v>
      </c>
      <c r="AE96" s="645">
        <v>425</v>
      </c>
      <c r="AH96" s="649" t="s">
        <v>727</v>
      </c>
      <c r="AI96" s="645">
        <v>17181.776395130448</v>
      </c>
      <c r="AJ96" s="645">
        <v>124</v>
      </c>
    </row>
    <row r="97" spans="23:36" ht="15.75">
      <c r="W97" s="644" t="s">
        <v>1837</v>
      </c>
      <c r="X97" s="645">
        <v>5010.5841587194509</v>
      </c>
      <c r="Y97" s="645">
        <v>24</v>
      </c>
      <c r="AC97" s="644" t="s">
        <v>734</v>
      </c>
      <c r="AD97" s="645">
        <v>39057.891100140056</v>
      </c>
      <c r="AE97" s="645">
        <v>880</v>
      </c>
      <c r="AH97" s="649" t="s">
        <v>1837</v>
      </c>
      <c r="AI97" s="645">
        <v>16516.889620802798</v>
      </c>
      <c r="AJ97" s="645">
        <v>24</v>
      </c>
    </row>
    <row r="98" spans="23:36" ht="15.75">
      <c r="W98" s="652" t="s">
        <v>725</v>
      </c>
      <c r="X98" s="645">
        <v>4414.1355677532129</v>
      </c>
      <c r="Y98" s="645">
        <v>89</v>
      </c>
      <c r="AC98" s="644" t="s">
        <v>741</v>
      </c>
      <c r="AD98" s="645">
        <v>38900.758946367787</v>
      </c>
      <c r="AE98" s="645">
        <v>777</v>
      </c>
      <c r="AH98" s="653" t="s">
        <v>725</v>
      </c>
      <c r="AI98" s="645">
        <v>14550.756485541691</v>
      </c>
      <c r="AJ98" s="645">
        <v>89</v>
      </c>
    </row>
    <row r="99" spans="23:36" ht="15.75">
      <c r="W99" s="108" t="s">
        <v>723</v>
      </c>
      <c r="X99" s="108">
        <v>3642.206617399037</v>
      </c>
      <c r="Y99" s="108">
        <v>24</v>
      </c>
      <c r="AC99" s="644" t="s">
        <v>718</v>
      </c>
      <c r="AD99" s="645">
        <v>38882.212494761538</v>
      </c>
      <c r="AE99" s="645">
        <v>725</v>
      </c>
      <c r="AH99" s="108" t="s">
        <v>723</v>
      </c>
      <c r="AI99" s="108">
        <v>12006.169893594186</v>
      </c>
      <c r="AJ99" s="108">
        <v>24</v>
      </c>
    </row>
    <row r="100" spans="23:36" ht="15.75">
      <c r="W100" s="108" t="s">
        <v>729</v>
      </c>
      <c r="X100" s="108">
        <v>3144.7639600134917</v>
      </c>
      <c r="Y100" s="108">
        <v>67</v>
      </c>
      <c r="AC100" s="644" t="s">
        <v>712</v>
      </c>
      <c r="AD100" s="645">
        <v>37458.832909141085</v>
      </c>
      <c r="AE100" s="645">
        <v>493</v>
      </c>
      <c r="AH100" s="108" t="s">
        <v>729</v>
      </c>
      <c r="AI100" s="108">
        <v>10366.399917788474</v>
      </c>
      <c r="AJ100" s="108">
        <v>67</v>
      </c>
    </row>
    <row r="101" spans="23:36" ht="15.75">
      <c r="W101" s="108" t="s">
        <v>731</v>
      </c>
      <c r="X101" s="108">
        <v>2341.0117547248788</v>
      </c>
      <c r="Y101" s="108">
        <v>55</v>
      </c>
      <c r="AC101" s="644" t="s">
        <v>728</v>
      </c>
      <c r="AD101" s="645">
        <v>37268.067983195862</v>
      </c>
      <c r="AE101" s="645">
        <v>659</v>
      </c>
      <c r="AH101" s="108" t="s">
        <v>731</v>
      </c>
      <c r="AI101" s="108">
        <v>7716.9111482750905</v>
      </c>
      <c r="AJ101" s="108">
        <v>55</v>
      </c>
    </row>
    <row r="102" spans="23:36" ht="15.75">
      <c r="W102" s="108" t="s">
        <v>735</v>
      </c>
      <c r="X102" s="108">
        <v>1384.2445800496766</v>
      </c>
      <c r="Y102" s="108">
        <v>11</v>
      </c>
      <c r="AC102" s="644" t="s">
        <v>739</v>
      </c>
      <c r="AD102" s="645">
        <v>36993.688658223742</v>
      </c>
      <c r="AE102" s="645">
        <v>734</v>
      </c>
      <c r="AH102" s="108" t="s">
        <v>735</v>
      </c>
      <c r="AI102" s="108">
        <v>4563.0238336757548</v>
      </c>
      <c r="AJ102" s="108">
        <v>11</v>
      </c>
    </row>
    <row r="103" spans="23:36" ht="15.75">
      <c r="W103" s="108" t="s">
        <v>733</v>
      </c>
      <c r="X103" s="108">
        <v>1197.6793719910461</v>
      </c>
      <c r="Y103" s="108">
        <v>10</v>
      </c>
      <c r="AC103" s="644" t="s">
        <v>743</v>
      </c>
      <c r="AD103" s="645">
        <v>36789.329367391409</v>
      </c>
      <c r="AE103" s="645">
        <v>499</v>
      </c>
      <c r="AH103" s="108" t="s">
        <v>733</v>
      </c>
      <c r="AI103" s="108">
        <v>3948.0302818312844</v>
      </c>
      <c r="AJ103" s="108">
        <v>10</v>
      </c>
    </row>
    <row r="104" spans="23:36" ht="15.75">
      <c r="W104" s="108" t="s">
        <v>1838</v>
      </c>
      <c r="X104" s="108">
        <v>919.93499126061761</v>
      </c>
      <c r="Y104" s="108">
        <v>3000</v>
      </c>
      <c r="AC104" s="644" t="s">
        <v>750</v>
      </c>
      <c r="AD104" s="645">
        <v>36479.594513098862</v>
      </c>
      <c r="AE104" s="645">
        <v>779</v>
      </c>
      <c r="AH104" s="108" t="s">
        <v>1838</v>
      </c>
      <c r="AI104" s="108">
        <v>3032.4737051914999</v>
      </c>
      <c r="AJ104" s="108">
        <v>3000</v>
      </c>
    </row>
    <row r="105" spans="23:36" ht="15.75">
      <c r="W105" s="108" t="s">
        <v>1839</v>
      </c>
      <c r="X105" s="108">
        <v>858.60599184324315</v>
      </c>
      <c r="Y105" s="108">
        <v>20</v>
      </c>
      <c r="AC105" s="644" t="s">
        <v>744</v>
      </c>
      <c r="AD105" s="645">
        <v>36428.946413786733</v>
      </c>
      <c r="AE105" s="645">
        <v>566</v>
      </c>
      <c r="AH105" s="108" t="s">
        <v>1839</v>
      </c>
      <c r="AI105" s="108">
        <v>2830.3087915120668</v>
      </c>
      <c r="AJ105" s="108">
        <v>20</v>
      </c>
    </row>
    <row r="106" spans="23:36" ht="15.75">
      <c r="W106" s="108" t="s">
        <v>1816</v>
      </c>
      <c r="X106" s="108">
        <v>837.14084204716198</v>
      </c>
      <c r="Y106" s="108">
        <v>7</v>
      </c>
      <c r="AC106" s="644" t="s">
        <v>761</v>
      </c>
      <c r="AD106" s="645">
        <v>36425.751423343841</v>
      </c>
      <c r="AE106" s="645">
        <v>726</v>
      </c>
      <c r="AH106" s="108" t="s">
        <v>1816</v>
      </c>
      <c r="AI106" s="108">
        <v>2759.5510717242651</v>
      </c>
      <c r="AJ106" s="108">
        <v>7</v>
      </c>
    </row>
    <row r="107" spans="23:36" ht="15.75">
      <c r="W107" s="108" t="s">
        <v>737</v>
      </c>
      <c r="X107" s="108">
        <v>305.31069271104849</v>
      </c>
      <c r="Y107" s="108">
        <v>1</v>
      </c>
      <c r="AC107" s="644" t="s">
        <v>724</v>
      </c>
      <c r="AD107" s="645">
        <v>36400.138215121668</v>
      </c>
      <c r="AE107" s="645">
        <v>674</v>
      </c>
      <c r="AH107" s="108" t="s">
        <v>737</v>
      </c>
      <c r="AI107" s="108">
        <v>1006.4261674527003</v>
      </c>
      <c r="AJ107" s="108">
        <v>1</v>
      </c>
    </row>
    <row r="108" spans="23:36" ht="15.75">
      <c r="W108" s="108" t="s">
        <v>1840</v>
      </c>
      <c r="X108" s="108">
        <v>245.31599766949802</v>
      </c>
      <c r="Y108" s="108">
        <v>1</v>
      </c>
      <c r="AC108" s="644" t="s">
        <v>745</v>
      </c>
      <c r="AD108" s="645">
        <v>36040.698843948347</v>
      </c>
      <c r="AE108" s="645">
        <v>716</v>
      </c>
      <c r="AH108" s="108" t="s">
        <v>1840</v>
      </c>
      <c r="AI108" s="108">
        <v>808.65965471773336</v>
      </c>
      <c r="AJ108" s="108">
        <v>1</v>
      </c>
    </row>
    <row r="109" spans="23:36" ht="15.75">
      <c r="W109" s="108" t="s">
        <v>1841</v>
      </c>
      <c r="X109" s="108">
        <v>58.736009322007916</v>
      </c>
      <c r="Y109" s="108">
        <v>1</v>
      </c>
      <c r="AC109" s="644" t="s">
        <v>742</v>
      </c>
      <c r="AD109" s="645">
        <v>35978.986844929619</v>
      </c>
      <c r="AE109" s="645">
        <v>567</v>
      </c>
      <c r="AH109" s="108" t="s">
        <v>1841</v>
      </c>
      <c r="AI109" s="108">
        <v>193.6173811290669</v>
      </c>
      <c r="AJ109" s="108">
        <v>1</v>
      </c>
    </row>
    <row r="110" spans="23:36" ht="15.75">
      <c r="W110" s="108" t="s">
        <v>1842</v>
      </c>
      <c r="X110" s="108">
        <v>36.797399650424701</v>
      </c>
      <c r="Y110" s="108">
        <v>100</v>
      </c>
      <c r="AC110" s="644" t="s">
        <v>720</v>
      </c>
      <c r="AD110" s="645">
        <v>35286.097789089559</v>
      </c>
      <c r="AE110" s="645">
        <v>626</v>
      </c>
      <c r="AH110" s="108" t="s">
        <v>1842</v>
      </c>
      <c r="AI110" s="108">
        <v>121.29894820765999</v>
      </c>
      <c r="AJ110" s="108">
        <v>100</v>
      </c>
    </row>
    <row r="111" spans="23:36" ht="15.75">
      <c r="W111" s="108" t="s">
        <v>1843</v>
      </c>
      <c r="X111" s="108">
        <v>-22.474011836496889</v>
      </c>
      <c r="Y111" s="108">
        <v>-2</v>
      </c>
      <c r="AC111" s="644" t="s">
        <v>754</v>
      </c>
      <c r="AD111" s="645">
        <v>35049.516880807379</v>
      </c>
      <c r="AE111" s="645">
        <v>-1</v>
      </c>
      <c r="AH111" s="108" t="s">
        <v>1843</v>
      </c>
      <c r="AI111" s="108">
        <v>-74.083332617828347</v>
      </c>
      <c r="AJ111" s="108">
        <v>-2</v>
      </c>
    </row>
    <row r="112" spans="23:36" ht="15.75">
      <c r="W112" s="108" t="s">
        <v>1844</v>
      </c>
      <c r="X112" s="108">
        <v>-831.92787709668517</v>
      </c>
      <c r="Y112" s="108">
        <v>-1</v>
      </c>
      <c r="AC112" s="644" t="s">
        <v>732</v>
      </c>
      <c r="AD112" s="645">
        <v>34861.246971880675</v>
      </c>
      <c r="AE112" s="645">
        <v>638</v>
      </c>
      <c r="AH112" s="108" t="s">
        <v>1844</v>
      </c>
      <c r="AI112" s="108">
        <v>-2742.367054061513</v>
      </c>
      <c r="AJ112" s="108">
        <v>-1</v>
      </c>
    </row>
    <row r="113" spans="23:36" ht="15.75">
      <c r="W113" s="108">
        <v>41708</v>
      </c>
      <c r="X113" s="108">
        <v>-897.32298917543164</v>
      </c>
      <c r="Y113" s="108">
        <v>-9</v>
      </c>
      <c r="AC113" s="644" t="s">
        <v>736</v>
      </c>
      <c r="AD113" s="645">
        <v>34183.859433933336</v>
      </c>
      <c r="AE113" s="645">
        <v>517</v>
      </c>
      <c r="AH113" s="108">
        <v>41708</v>
      </c>
      <c r="AI113" s="108">
        <v>-2957.935501517893</v>
      </c>
      <c r="AJ113" s="108">
        <v>-9</v>
      </c>
    </row>
    <row r="114" spans="23:36" ht="15.75">
      <c r="W114" s="108" t="s">
        <v>1845</v>
      </c>
      <c r="X114" s="108">
        <v>-11429.392229615774</v>
      </c>
      <c r="Y114" s="108">
        <v>-7</v>
      </c>
      <c r="AC114" s="644" t="s">
        <v>752</v>
      </c>
      <c r="AD114" s="645">
        <v>34157.563117761863</v>
      </c>
      <c r="AE114" s="645">
        <v>680</v>
      </c>
      <c r="AH114" s="108" t="s">
        <v>1845</v>
      </c>
      <c r="AI114" s="108">
        <v>-37675.848545705441</v>
      </c>
      <c r="AJ114" s="108">
        <v>-7</v>
      </c>
    </row>
    <row r="115" spans="23:36" ht="15.75">
      <c r="AC115" s="644" t="s">
        <v>753</v>
      </c>
      <c r="AD115" s="645">
        <v>34067.781832306064</v>
      </c>
      <c r="AE115" s="645">
        <v>706</v>
      </c>
    </row>
    <row r="116" spans="23:36" ht="15.75">
      <c r="AC116" s="644" t="s">
        <v>777</v>
      </c>
      <c r="AD116" s="645">
        <v>33201.225813375851</v>
      </c>
      <c r="AE116" s="645">
        <v>671</v>
      </c>
    </row>
    <row r="117" spans="23:36" ht="15.75">
      <c r="AC117" s="644" t="s">
        <v>770</v>
      </c>
      <c r="AD117" s="645">
        <v>33138.456093547182</v>
      </c>
      <c r="AE117" s="645">
        <v>298</v>
      </c>
    </row>
    <row r="118" spans="23:36" ht="15.75">
      <c r="AC118" s="644" t="s">
        <v>768</v>
      </c>
      <c r="AD118" s="645">
        <v>33088.253963386589</v>
      </c>
      <c r="AE118" s="645">
        <v>753</v>
      </c>
    </row>
    <row r="119" spans="23:36" ht="15.75">
      <c r="AC119" s="644" t="s">
        <v>756</v>
      </c>
      <c r="AD119" s="645">
        <v>32968.244457391695</v>
      </c>
      <c r="AE119" s="645">
        <v>606</v>
      </c>
    </row>
    <row r="120" spans="23:36" ht="15.75">
      <c r="AC120" s="644" t="s">
        <v>816</v>
      </c>
      <c r="AD120" s="645">
        <v>32707.479071478971</v>
      </c>
      <c r="AE120" s="645">
        <v>354</v>
      </c>
    </row>
    <row r="121" spans="23:36" ht="15.75">
      <c r="AC121" s="644" t="s">
        <v>796</v>
      </c>
      <c r="AD121" s="645">
        <v>32406.560138194676</v>
      </c>
      <c r="AE121" s="645">
        <v>583</v>
      </c>
    </row>
    <row r="122" spans="23:36" ht="15.75">
      <c r="AC122" s="644" t="s">
        <v>759</v>
      </c>
      <c r="AD122" s="645">
        <v>32157.410591518194</v>
      </c>
      <c r="AE122" s="645">
        <v>352</v>
      </c>
    </row>
    <row r="123" spans="23:36" ht="15.75">
      <c r="AC123" s="644" t="s">
        <v>765</v>
      </c>
      <c r="AD123" s="645">
        <v>32129.93043247165</v>
      </c>
      <c r="AE123" s="645">
        <v>648</v>
      </c>
    </row>
    <row r="124" spans="23:36" ht="15.75">
      <c r="AC124" s="644" t="s">
        <v>751</v>
      </c>
      <c r="AD124" s="645">
        <v>31934.898653828455</v>
      </c>
      <c r="AE124" s="645">
        <v>616</v>
      </c>
    </row>
    <row r="125" spans="23:36" ht="15.75">
      <c r="AC125" s="644" t="s">
        <v>792</v>
      </c>
      <c r="AD125" s="645">
        <v>31898.217779276933</v>
      </c>
      <c r="AE125" s="645">
        <v>669</v>
      </c>
    </row>
    <row r="126" spans="23:36" ht="15.75">
      <c r="AC126" s="644" t="s">
        <v>760</v>
      </c>
      <c r="AD126" s="645">
        <v>31663.242464199197</v>
      </c>
      <c r="AE126" s="645">
        <v>254</v>
      </c>
    </row>
    <row r="127" spans="23:36" ht="15.75">
      <c r="AC127" s="644" t="s">
        <v>779</v>
      </c>
      <c r="AD127" s="645">
        <v>31606.565422710122</v>
      </c>
      <c r="AE127" s="645">
        <v>606</v>
      </c>
    </row>
    <row r="128" spans="23:36" ht="15.75">
      <c r="AC128" s="644" t="s">
        <v>766</v>
      </c>
      <c r="AD128" s="645">
        <v>30948.238017846754</v>
      </c>
      <c r="AE128" s="645">
        <v>706</v>
      </c>
    </row>
    <row r="129" spans="29:31" ht="15.75">
      <c r="AC129" s="644" t="s">
        <v>757</v>
      </c>
      <c r="AD129" s="645">
        <v>30451.049952470017</v>
      </c>
      <c r="AE129" s="645">
        <v>614</v>
      </c>
    </row>
    <row r="130" spans="29:31" ht="15.75">
      <c r="AC130" s="644" t="s">
        <v>767</v>
      </c>
      <c r="AD130" s="645">
        <v>30225.564840084658</v>
      </c>
      <c r="AE130" s="645">
        <v>411</v>
      </c>
    </row>
    <row r="131" spans="29:31" ht="15.75">
      <c r="AC131" s="644" t="s">
        <v>758</v>
      </c>
      <c r="AD131" s="645">
        <v>30161.229288685827</v>
      </c>
      <c r="AE131" s="645">
        <v>365</v>
      </c>
    </row>
    <row r="132" spans="29:31" ht="15.75">
      <c r="AC132" s="644" t="s">
        <v>771</v>
      </c>
      <c r="AD132" s="645">
        <v>29296.101008862035</v>
      </c>
      <c r="AE132" s="645">
        <v>558</v>
      </c>
    </row>
    <row r="133" spans="29:31" ht="15.75">
      <c r="AC133" s="644" t="s">
        <v>791</v>
      </c>
      <c r="AD133" s="645">
        <v>29124.332740486359</v>
      </c>
      <c r="AE133" s="645">
        <v>398</v>
      </c>
    </row>
    <row r="134" spans="29:31" ht="15.75">
      <c r="AC134" s="644" t="s">
        <v>793</v>
      </c>
      <c r="AD134" s="645">
        <v>28991.266290515479</v>
      </c>
      <c r="AE134" s="645">
        <v>508</v>
      </c>
    </row>
    <row r="135" spans="29:31" ht="15.75">
      <c r="AC135" s="644" t="s">
        <v>788</v>
      </c>
      <c r="AD135" s="645">
        <v>28956.635644414459</v>
      </c>
      <c r="AE135" s="645">
        <v>524</v>
      </c>
    </row>
    <row r="136" spans="29:31" ht="15.75">
      <c r="AC136" s="644" t="s">
        <v>726</v>
      </c>
      <c r="AD136" s="645">
        <v>28955.8737849192</v>
      </c>
      <c r="AE136" s="645">
        <v>282</v>
      </c>
    </row>
    <row r="137" spans="29:31" ht="15.75">
      <c r="AC137" s="644" t="s">
        <v>801</v>
      </c>
      <c r="AD137" s="645">
        <v>28928.582380178457</v>
      </c>
      <c r="AE137" s="645">
        <v>354</v>
      </c>
    </row>
    <row r="138" spans="29:31" ht="15.75">
      <c r="AC138" s="644" t="s">
        <v>778</v>
      </c>
      <c r="AD138" s="645">
        <v>28911.015730888383</v>
      </c>
      <c r="AE138" s="645">
        <v>556</v>
      </c>
    </row>
    <row r="139" spans="29:31" ht="15.75">
      <c r="AC139" s="644" t="s">
        <v>775</v>
      </c>
      <c r="AD139" s="645">
        <v>28883.71352202223</v>
      </c>
      <c r="AE139" s="645">
        <v>312</v>
      </c>
    </row>
    <row r="140" spans="29:31" ht="15.75">
      <c r="AC140" s="644" t="s">
        <v>772</v>
      </c>
      <c r="AD140" s="645">
        <v>28485.463647235578</v>
      </c>
      <c r="AE140" s="645">
        <v>536</v>
      </c>
    </row>
    <row r="141" spans="29:31" ht="15.75">
      <c r="AC141" s="644" t="s">
        <v>782</v>
      </c>
      <c r="AD141" s="645">
        <v>28272.450093526735</v>
      </c>
      <c r="AE141" s="645">
        <v>496</v>
      </c>
    </row>
    <row r="142" spans="29:31" ht="15.75">
      <c r="AC142" s="644" t="s">
        <v>790</v>
      </c>
      <c r="AD142" s="645">
        <v>28253.264338208981</v>
      </c>
      <c r="AE142" s="645">
        <v>512</v>
      </c>
    </row>
    <row r="143" spans="29:31" ht="15.75">
      <c r="AC143" s="644" t="s">
        <v>769</v>
      </c>
      <c r="AD143" s="645">
        <v>28112.740486338957</v>
      </c>
      <c r="AE143" s="645">
        <v>597</v>
      </c>
    </row>
    <row r="144" spans="29:31" ht="15.75">
      <c r="AC144" s="644" t="s">
        <v>781</v>
      </c>
      <c r="AD144" s="645">
        <v>28069.162552512968</v>
      </c>
      <c r="AE144" s="645">
        <v>447</v>
      </c>
    </row>
    <row r="145" spans="29:31" ht="15.75">
      <c r="AC145" s="644" t="s">
        <v>783</v>
      </c>
      <c r="AD145" s="645">
        <v>27726.489885825824</v>
      </c>
      <c r="AE145" s="645">
        <v>455</v>
      </c>
    </row>
    <row r="146" spans="29:31" ht="15.75">
      <c r="AC146" s="644" t="s">
        <v>794</v>
      </c>
      <c r="AD146" s="645">
        <v>27550.477875563436</v>
      </c>
      <c r="AE146" s="645">
        <v>573</v>
      </c>
    </row>
    <row r="147" spans="29:31" ht="15.75">
      <c r="AC147" s="644" t="s">
        <v>805</v>
      </c>
      <c r="AD147" s="645">
        <v>27537.142681917143</v>
      </c>
      <c r="AE147" s="645">
        <v>440</v>
      </c>
    </row>
    <row r="148" spans="29:31" ht="15.75">
      <c r="AC148" s="644" t="s">
        <v>764</v>
      </c>
      <c r="AD148" s="645">
        <v>27202.660605317233</v>
      </c>
      <c r="AE148" s="645">
        <v>344</v>
      </c>
    </row>
    <row r="149" spans="29:31" ht="15.75">
      <c r="AC149" s="644" t="s">
        <v>869</v>
      </c>
      <c r="AD149" s="645">
        <v>26990.323306041919</v>
      </c>
      <c r="AE149" s="645">
        <v>539</v>
      </c>
    </row>
    <row r="150" spans="29:31" ht="15.75">
      <c r="AC150" s="644" t="s">
        <v>789</v>
      </c>
      <c r="AD150" s="645">
        <v>26964.704036470306</v>
      </c>
      <c r="AE150" s="645">
        <v>426</v>
      </c>
    </row>
    <row r="151" spans="29:31" ht="15.75">
      <c r="AC151" s="644" t="s">
        <v>798</v>
      </c>
      <c r="AD151" s="645">
        <v>26837.570145043086</v>
      </c>
      <c r="AE151" s="645">
        <v>168</v>
      </c>
    </row>
    <row r="152" spans="29:31" ht="15.75">
      <c r="AC152" s="644" t="s">
        <v>784</v>
      </c>
      <c r="AD152" s="645">
        <v>26482.455735794691</v>
      </c>
      <c r="AE152" s="645">
        <v>572</v>
      </c>
    </row>
    <row r="153" spans="29:31" ht="15.75">
      <c r="AC153" s="644" t="s">
        <v>804</v>
      </c>
      <c r="AD153" s="645">
        <v>26311.456257091155</v>
      </c>
      <c r="AE153" s="645">
        <v>287</v>
      </c>
    </row>
    <row r="154" spans="29:31" ht="15.75">
      <c r="AC154" s="644" t="s">
        <v>795</v>
      </c>
      <c r="AD154" s="645">
        <v>26152.218576553922</v>
      </c>
      <c r="AE154" s="645">
        <v>352</v>
      </c>
    </row>
    <row r="155" spans="29:31" ht="15.75">
      <c r="AC155" s="644" t="s">
        <v>802</v>
      </c>
      <c r="AD155" s="645">
        <v>26056.728404526064</v>
      </c>
      <c r="AE155" s="645">
        <v>573</v>
      </c>
    </row>
    <row r="156" spans="29:31" ht="15.75">
      <c r="AC156" s="644" t="s">
        <v>780</v>
      </c>
      <c r="AD156" s="645">
        <v>25784.857870043852</v>
      </c>
      <c r="AE156" s="645">
        <v>299</v>
      </c>
    </row>
    <row r="157" spans="29:31" ht="15.75">
      <c r="AC157" s="644" t="s">
        <v>807</v>
      </c>
      <c r="AD157" s="645">
        <v>25611.385830956857</v>
      </c>
      <c r="AE157" s="645">
        <v>466</v>
      </c>
    </row>
    <row r="158" spans="29:31" ht="15.75">
      <c r="AC158" s="644" t="s">
        <v>824</v>
      </c>
      <c r="AD158" s="645">
        <v>25561.805730172866</v>
      </c>
      <c r="AE158" s="645">
        <v>314</v>
      </c>
    </row>
    <row r="159" spans="29:31" ht="15.75">
      <c r="AC159" s="644" t="s">
        <v>809</v>
      </c>
      <c r="AD159" s="645">
        <v>25294.862408389788</v>
      </c>
      <c r="AE159" s="645">
        <v>495</v>
      </c>
    </row>
    <row r="160" spans="29:31" ht="15.75">
      <c r="AC160" s="644" t="s">
        <v>815</v>
      </c>
      <c r="AD160" s="645">
        <v>25225.36013410606</v>
      </c>
      <c r="AE160" s="645">
        <v>457</v>
      </c>
    </row>
    <row r="161" spans="29:31" ht="15.75">
      <c r="AC161" s="644" t="s">
        <v>800</v>
      </c>
      <c r="AD161" s="645">
        <v>24829.295851093182</v>
      </c>
      <c r="AE161" s="645">
        <v>425</v>
      </c>
    </row>
    <row r="162" spans="29:31" ht="15.75">
      <c r="AC162" s="644" t="s">
        <v>763</v>
      </c>
      <c r="AD162" s="645">
        <v>24806.37351813804</v>
      </c>
      <c r="AE162" s="645">
        <v>320</v>
      </c>
    </row>
    <row r="163" spans="29:31" ht="15.75">
      <c r="AC163" s="644" t="s">
        <v>810</v>
      </c>
      <c r="AD163" s="645">
        <v>24776.995696748534</v>
      </c>
      <c r="AE163" s="645">
        <v>518</v>
      </c>
    </row>
    <row r="164" spans="29:31" ht="15.75">
      <c r="AC164" s="644" t="s">
        <v>825</v>
      </c>
      <c r="AD164" s="645">
        <v>24471.219322723438</v>
      </c>
      <c r="AE164" s="645">
        <v>209</v>
      </c>
    </row>
    <row r="165" spans="29:31" ht="15.75">
      <c r="AC165" s="644" t="s">
        <v>826</v>
      </c>
      <c r="AD165" s="645">
        <v>24429.421238232506</v>
      </c>
      <c r="AE165" s="645">
        <v>472</v>
      </c>
    </row>
    <row r="166" spans="29:31" ht="15.75">
      <c r="AC166" s="644" t="s">
        <v>814</v>
      </c>
      <c r="AD166" s="645">
        <v>24356.306307687602</v>
      </c>
      <c r="AE166" s="645">
        <v>460</v>
      </c>
    </row>
    <row r="167" spans="29:31" ht="15.75">
      <c r="AC167" s="644" t="s">
        <v>828</v>
      </c>
      <c r="AD167" s="645">
        <v>24279.731225660064</v>
      </c>
      <c r="AE167" s="645">
        <v>411</v>
      </c>
    </row>
    <row r="168" spans="29:31" ht="15.75">
      <c r="AC168" s="644" t="s">
        <v>817</v>
      </c>
      <c r="AD168" s="645">
        <v>24128.198000674631</v>
      </c>
      <c r="AE168" s="645">
        <v>435</v>
      </c>
    </row>
    <row r="169" spans="29:31" ht="15.75">
      <c r="AC169" s="644" t="s">
        <v>785</v>
      </c>
      <c r="AD169" s="645">
        <v>24038.125632455307</v>
      </c>
      <c r="AE169" s="645">
        <v>431</v>
      </c>
    </row>
    <row r="170" spans="29:31" ht="15.75">
      <c r="AC170" s="644" t="s">
        <v>837</v>
      </c>
      <c r="AD170" s="645">
        <v>23784.393916163262</v>
      </c>
      <c r="AE170" s="645">
        <v>457</v>
      </c>
    </row>
    <row r="171" spans="29:31" ht="15.75">
      <c r="AC171" s="644" t="s">
        <v>819</v>
      </c>
      <c r="AD171" s="645">
        <v>23610.763055410753</v>
      </c>
      <c r="AE171" s="645">
        <v>445</v>
      </c>
    </row>
    <row r="172" spans="29:31" ht="15.75">
      <c r="AC172" s="644" t="s">
        <v>883</v>
      </c>
      <c r="AD172" s="645">
        <v>23145.549354512274</v>
      </c>
      <c r="AE172" s="645">
        <v>354</v>
      </c>
    </row>
    <row r="173" spans="29:31" ht="15.75">
      <c r="AC173" s="644" t="s">
        <v>773</v>
      </c>
      <c r="AD173" s="645">
        <v>23079.984177118149</v>
      </c>
      <c r="AE173" s="645">
        <v>461</v>
      </c>
    </row>
    <row r="174" spans="29:31" ht="15.75">
      <c r="AC174" s="644" t="s">
        <v>820</v>
      </c>
      <c r="AD174" s="645">
        <v>22972.066582850352</v>
      </c>
      <c r="AE174" s="645">
        <v>529</v>
      </c>
    </row>
    <row r="175" spans="29:31" ht="15.75">
      <c r="AC175" s="644" t="s">
        <v>854</v>
      </c>
      <c r="AD175" s="645">
        <v>22694.276471129375</v>
      </c>
      <c r="AE175" s="645">
        <v>521</v>
      </c>
    </row>
    <row r="176" spans="29:31" ht="15.75">
      <c r="AC176" s="644" t="s">
        <v>839</v>
      </c>
      <c r="AD176" s="645">
        <v>22675.666492901171</v>
      </c>
      <c r="AE176" s="645">
        <v>224</v>
      </c>
    </row>
    <row r="177" spans="29:31" ht="15.75">
      <c r="AC177" s="644" t="s">
        <v>787</v>
      </c>
      <c r="AD177" s="645">
        <v>22646.330379319861</v>
      </c>
      <c r="AE177" s="645">
        <v>533</v>
      </c>
    </row>
    <row r="178" spans="29:31" ht="15.75">
      <c r="AC178" s="644" t="s">
        <v>868</v>
      </c>
      <c r="AD178" s="645">
        <v>22606.562611797686</v>
      </c>
      <c r="AE178" s="645">
        <v>431</v>
      </c>
    </row>
    <row r="179" spans="29:31" ht="15.75">
      <c r="AC179" s="644" t="s">
        <v>818</v>
      </c>
      <c r="AD179" s="645">
        <v>22604.081230259737</v>
      </c>
      <c r="AE179" s="645">
        <v>462</v>
      </c>
    </row>
    <row r="180" spans="29:31" ht="15.75">
      <c r="AC180" s="644" t="s">
        <v>832</v>
      </c>
      <c r="AD180" s="645">
        <v>22594.654196436783</v>
      </c>
      <c r="AE180" s="645">
        <v>437</v>
      </c>
    </row>
    <row r="181" spans="29:31" ht="15.75">
      <c r="AC181" s="644" t="s">
        <v>786</v>
      </c>
      <c r="AD181" s="645">
        <v>22570.221459016888</v>
      </c>
      <c r="AE181" s="645">
        <v>419</v>
      </c>
    </row>
    <row r="182" spans="29:31" ht="15.75">
      <c r="AC182" s="644" t="s">
        <v>808</v>
      </c>
      <c r="AD182" s="645">
        <v>22409.955413817424</v>
      </c>
      <c r="AE182" s="645">
        <v>420</v>
      </c>
    </row>
    <row r="183" spans="29:31" ht="15.75">
      <c r="AC183" s="644" t="s">
        <v>799</v>
      </c>
      <c r="AD183" s="645">
        <v>22250.718162583162</v>
      </c>
      <c r="AE183" s="645">
        <v>391</v>
      </c>
    </row>
    <row r="184" spans="29:31" ht="15.75">
      <c r="AC184" s="644" t="s">
        <v>850</v>
      </c>
      <c r="AD184" s="645">
        <v>22183.715004139707</v>
      </c>
      <c r="AE184" s="645">
        <v>209</v>
      </c>
    </row>
    <row r="185" spans="29:31" ht="15.75">
      <c r="AC185" s="644" t="s">
        <v>899</v>
      </c>
      <c r="AD185" s="645">
        <v>22181.165864278926</v>
      </c>
      <c r="AE185" s="645">
        <v>216</v>
      </c>
    </row>
    <row r="186" spans="29:31" ht="15.75">
      <c r="AC186" s="644" t="s">
        <v>840</v>
      </c>
      <c r="AD186" s="645">
        <v>22146.794793167941</v>
      </c>
      <c r="AE186" s="645">
        <v>314</v>
      </c>
    </row>
    <row r="187" spans="29:31" ht="15.75">
      <c r="AC187" s="644" t="s">
        <v>803</v>
      </c>
      <c r="AD187" s="645">
        <v>22141.286518863784</v>
      </c>
      <c r="AE187" s="645">
        <v>397</v>
      </c>
    </row>
    <row r="188" spans="29:31" ht="15.75">
      <c r="AC188" s="644" t="s">
        <v>878</v>
      </c>
      <c r="AD188" s="645">
        <v>21768.286713072259</v>
      </c>
      <c r="AE188" s="645">
        <v>405</v>
      </c>
    </row>
    <row r="189" spans="29:31" ht="15.75">
      <c r="AC189" s="644" t="s">
        <v>857</v>
      </c>
      <c r="AD189" s="645">
        <v>21732.268406365958</v>
      </c>
      <c r="AE189" s="645">
        <v>327</v>
      </c>
    </row>
    <row r="190" spans="29:31" ht="15.75">
      <c r="AC190" s="644" t="s">
        <v>774</v>
      </c>
      <c r="AD190" s="645">
        <v>21715.337401490302</v>
      </c>
      <c r="AE190" s="645">
        <v>374</v>
      </c>
    </row>
    <row r="191" spans="29:31" ht="15.75">
      <c r="AC191" s="644" t="s">
        <v>811</v>
      </c>
      <c r="AD191" s="645">
        <v>21624.053662874485</v>
      </c>
      <c r="AE191" s="645">
        <v>377</v>
      </c>
    </row>
    <row r="192" spans="29:31" ht="15.75">
      <c r="AC192" s="644" t="s">
        <v>838</v>
      </c>
      <c r="AD192" s="645">
        <v>21484.58512976193</v>
      </c>
      <c r="AE192" s="645">
        <v>426</v>
      </c>
    </row>
    <row r="193" spans="29:31" ht="15.75">
      <c r="AC193" s="644" t="s">
        <v>821</v>
      </c>
      <c r="AD193" s="645">
        <v>21443.137131642707</v>
      </c>
      <c r="AE193" s="645">
        <v>388</v>
      </c>
    </row>
    <row r="194" spans="29:31" ht="15.75">
      <c r="AC194" s="644" t="s">
        <v>776</v>
      </c>
      <c r="AD194" s="645">
        <v>21259.478176075561</v>
      </c>
      <c r="AE194" s="645">
        <v>199</v>
      </c>
    </row>
    <row r="195" spans="29:31" ht="15.75">
      <c r="AC195" s="644" t="s">
        <v>831</v>
      </c>
      <c r="AD195" s="645">
        <v>21249.242893502193</v>
      </c>
      <c r="AE195" s="645">
        <v>438</v>
      </c>
    </row>
    <row r="196" spans="29:31" ht="15.75">
      <c r="AC196" s="644" t="s">
        <v>812</v>
      </c>
      <c r="AD196" s="645">
        <v>21242.376192082429</v>
      </c>
      <c r="AE196" s="645">
        <v>424</v>
      </c>
    </row>
    <row r="197" spans="29:31" ht="15.75">
      <c r="AC197" s="644" t="s">
        <v>834</v>
      </c>
      <c r="AD197" s="645">
        <v>21072.863389653805</v>
      </c>
      <c r="AE197" s="645">
        <v>401</v>
      </c>
    </row>
    <row r="198" spans="29:31" ht="15.75">
      <c r="AC198" s="644" t="s">
        <v>874</v>
      </c>
      <c r="AD198" s="645">
        <v>20999.519998364573</v>
      </c>
      <c r="AE198" s="645">
        <v>439</v>
      </c>
    </row>
    <row r="199" spans="29:31" ht="15.75">
      <c r="AC199" s="644" t="s">
        <v>852</v>
      </c>
      <c r="AD199" s="645">
        <v>20799.596148538832</v>
      </c>
      <c r="AE199" s="645">
        <v>376</v>
      </c>
    </row>
    <row r="200" spans="29:31" ht="15.75">
      <c r="AC200" s="644" t="s">
        <v>853</v>
      </c>
      <c r="AD200" s="645">
        <v>20790.697847352119</v>
      </c>
      <c r="AE200" s="645">
        <v>407</v>
      </c>
    </row>
    <row r="201" spans="29:31" ht="15.75">
      <c r="AC201" s="644" t="s">
        <v>842</v>
      </c>
      <c r="AD201" s="645">
        <v>20767.052144981753</v>
      </c>
      <c r="AE201" s="645">
        <v>395</v>
      </c>
    </row>
    <row r="202" spans="29:31" ht="15.75">
      <c r="AC202" s="644" t="s">
        <v>830</v>
      </c>
      <c r="AD202" s="645">
        <v>20753.120112845376</v>
      </c>
      <c r="AE202" s="645">
        <v>280</v>
      </c>
    </row>
    <row r="203" spans="29:31" ht="15.75">
      <c r="AC203" s="644" t="s">
        <v>862</v>
      </c>
      <c r="AD203" s="645">
        <v>20403.673036705412</v>
      </c>
      <c r="AE203" s="645">
        <v>231</v>
      </c>
    </row>
    <row r="204" spans="29:31" ht="15.75">
      <c r="AC204" s="644" t="s">
        <v>871</v>
      </c>
      <c r="AD204" s="645">
        <v>20392.886500465087</v>
      </c>
      <c r="AE204" s="645">
        <v>418</v>
      </c>
    </row>
    <row r="205" spans="29:31" ht="15.75">
      <c r="AC205" s="644" t="s">
        <v>882</v>
      </c>
      <c r="AD205" s="645">
        <v>20329.224372144359</v>
      </c>
      <c r="AE205" s="645">
        <v>375</v>
      </c>
    </row>
    <row r="206" spans="29:31" ht="15.75">
      <c r="AC206" s="644" t="s">
        <v>944</v>
      </c>
      <c r="AD206" s="645">
        <v>20234.744922469927</v>
      </c>
      <c r="AE206" s="645">
        <v>224</v>
      </c>
    </row>
    <row r="207" spans="29:31" ht="15.75">
      <c r="AC207" s="644" t="s">
        <v>833</v>
      </c>
      <c r="AD207" s="645">
        <v>20211.127431439272</v>
      </c>
      <c r="AE207" s="645">
        <v>353</v>
      </c>
    </row>
    <row r="208" spans="29:31" ht="15.75">
      <c r="AC208" s="644" t="s">
        <v>846</v>
      </c>
      <c r="AD208" s="645">
        <v>20033.873683726353</v>
      </c>
      <c r="AE208" s="645">
        <v>228</v>
      </c>
    </row>
    <row r="209" spans="29:31" ht="15.75">
      <c r="AC209" s="644" t="s">
        <v>836</v>
      </c>
      <c r="AD209" s="645">
        <v>20029.883239806626</v>
      </c>
      <c r="AE209" s="645">
        <v>337</v>
      </c>
    </row>
    <row r="210" spans="29:31" ht="15.75">
      <c r="AC210" s="644" t="s">
        <v>829</v>
      </c>
      <c r="AD210" s="645">
        <v>19814.23942841373</v>
      </c>
      <c r="AE210" s="645">
        <v>279</v>
      </c>
    </row>
    <row r="211" spans="29:31" ht="15.75">
      <c r="AC211" s="644" t="s">
        <v>841</v>
      </c>
      <c r="AD211" s="645">
        <v>19768.962589310351</v>
      </c>
      <c r="AE211" s="645">
        <v>323</v>
      </c>
    </row>
    <row r="212" spans="29:31" ht="15.75">
      <c r="AC212" s="644" t="s">
        <v>861</v>
      </c>
      <c r="AD212" s="645">
        <v>19640.249118395634</v>
      </c>
      <c r="AE212" s="645">
        <v>377</v>
      </c>
    </row>
    <row r="213" spans="29:31" ht="15.75">
      <c r="AC213" s="644" t="s">
        <v>856</v>
      </c>
      <c r="AD213" s="645">
        <v>19625.619974855108</v>
      </c>
      <c r="AE213" s="645">
        <v>378</v>
      </c>
    </row>
    <row r="214" spans="29:31" ht="15.75">
      <c r="AC214" s="644" t="s">
        <v>877</v>
      </c>
      <c r="AD214" s="645">
        <v>19612.394713440252</v>
      </c>
      <c r="AE214" s="645">
        <v>387</v>
      </c>
    </row>
    <row r="215" spans="29:31" ht="15.75">
      <c r="AC215" s="644" t="s">
        <v>843</v>
      </c>
      <c r="AD215" s="645">
        <v>19515.752966790351</v>
      </c>
      <c r="AE215" s="645">
        <v>349</v>
      </c>
    </row>
    <row r="216" spans="29:31" ht="15.75">
      <c r="AC216" s="644" t="s">
        <v>849</v>
      </c>
      <c r="AD216" s="645">
        <v>19360.748459108883</v>
      </c>
      <c r="AE216" s="645">
        <v>424</v>
      </c>
    </row>
    <row r="217" spans="29:31" ht="15.75">
      <c r="AC217" s="644" t="s">
        <v>851</v>
      </c>
      <c r="AD217" s="645">
        <v>19281.858973965846</v>
      </c>
      <c r="AE217" s="645">
        <v>312</v>
      </c>
    </row>
    <row r="218" spans="29:31" ht="15.75">
      <c r="AC218" s="644" t="s">
        <v>867</v>
      </c>
      <c r="AD218" s="645">
        <v>19139.095427923094</v>
      </c>
      <c r="AE218" s="645">
        <v>270</v>
      </c>
    </row>
    <row r="219" spans="29:31" ht="15.75">
      <c r="AC219" s="644" t="s">
        <v>827</v>
      </c>
      <c r="AD219" s="645">
        <v>19089.212009240258</v>
      </c>
      <c r="AE219" s="645">
        <v>396</v>
      </c>
    </row>
    <row r="220" spans="29:31" ht="15.75">
      <c r="AC220" s="644" t="s">
        <v>876</v>
      </c>
      <c r="AD220" s="645">
        <v>18858.329888687858</v>
      </c>
      <c r="AE220" s="645">
        <v>352</v>
      </c>
    </row>
    <row r="221" spans="29:31" ht="15.75">
      <c r="AC221" s="644" t="s">
        <v>879</v>
      </c>
      <c r="AD221" s="645">
        <v>18832.509173796148</v>
      </c>
      <c r="AE221" s="645">
        <v>380</v>
      </c>
    </row>
    <row r="222" spans="29:31" ht="15.75">
      <c r="AC222" s="644" t="s">
        <v>859</v>
      </c>
      <c r="AD222" s="645">
        <v>18825.495170341295</v>
      </c>
      <c r="AE222" s="645">
        <v>365</v>
      </c>
    </row>
    <row r="223" spans="29:31" ht="15.75">
      <c r="AC223" s="644" t="s">
        <v>870</v>
      </c>
      <c r="AD223" s="645">
        <v>18799.752997454845</v>
      </c>
      <c r="AE223" s="645">
        <v>372</v>
      </c>
    </row>
    <row r="224" spans="29:31" ht="15.75">
      <c r="AC224" s="644" t="s">
        <v>875</v>
      </c>
      <c r="AD224" s="645">
        <v>18712.409309742106</v>
      </c>
      <c r="AE224" s="645">
        <v>391</v>
      </c>
    </row>
    <row r="225" spans="29:31" ht="15.75">
      <c r="AC225" s="644" t="s">
        <v>858</v>
      </c>
      <c r="AD225" s="645">
        <v>18518.714053540229</v>
      </c>
      <c r="AE225" s="645">
        <v>357</v>
      </c>
    </row>
    <row r="226" spans="29:31" ht="15.75">
      <c r="AC226" s="644" t="s">
        <v>822</v>
      </c>
      <c r="AD226" s="645">
        <v>18453.895924687993</v>
      </c>
      <c r="AE226" s="645">
        <v>241</v>
      </c>
    </row>
    <row r="227" spans="29:31" ht="15.75">
      <c r="AC227" s="644" t="s">
        <v>1030</v>
      </c>
      <c r="AD227" s="645">
        <v>18356.466683021066</v>
      </c>
      <c r="AE227" s="645">
        <v>354</v>
      </c>
    </row>
    <row r="228" spans="29:31" ht="15.75">
      <c r="AC228" s="644" t="s">
        <v>866</v>
      </c>
      <c r="AD228" s="645">
        <v>18293.278801631339</v>
      </c>
      <c r="AE228" s="645">
        <v>354</v>
      </c>
    </row>
    <row r="229" spans="29:31" ht="15.75">
      <c r="AC229" s="644" t="s">
        <v>873</v>
      </c>
      <c r="AD229" s="645">
        <v>18257.738554475469</v>
      </c>
      <c r="AE229" s="645">
        <v>394</v>
      </c>
    </row>
    <row r="230" spans="29:31" ht="15.75">
      <c r="AC230" s="644" t="s">
        <v>865</v>
      </c>
      <c r="AD230" s="645">
        <v>17996.290668792757</v>
      </c>
      <c r="AE230" s="645">
        <v>362</v>
      </c>
    </row>
    <row r="231" spans="29:31" ht="15.75">
      <c r="AC231" s="644" t="s">
        <v>864</v>
      </c>
      <c r="AD231" s="645">
        <v>17866.536751402913</v>
      </c>
      <c r="AE231" s="645">
        <v>356</v>
      </c>
    </row>
    <row r="232" spans="29:31" ht="15.75">
      <c r="AC232" s="644" t="s">
        <v>880</v>
      </c>
      <c r="AD232" s="645">
        <v>17714.50200852472</v>
      </c>
      <c r="AE232" s="645">
        <v>356</v>
      </c>
    </row>
    <row r="233" spans="29:31" ht="15.75">
      <c r="AC233" s="644" t="s">
        <v>848</v>
      </c>
      <c r="AD233" s="645">
        <v>17604.370059182478</v>
      </c>
      <c r="AE233" s="645">
        <v>213</v>
      </c>
    </row>
    <row r="234" spans="29:31" ht="15.75">
      <c r="AC234" s="644" t="s">
        <v>890</v>
      </c>
      <c r="AD234" s="645">
        <v>17568.874306215694</v>
      </c>
      <c r="AE234" s="645">
        <v>314</v>
      </c>
    </row>
    <row r="235" spans="29:31" ht="15.75">
      <c r="AC235" s="644" t="s">
        <v>806</v>
      </c>
      <c r="AD235" s="645">
        <v>17448.731716292044</v>
      </c>
      <c r="AE235" s="645">
        <v>386</v>
      </c>
    </row>
    <row r="236" spans="29:31" ht="15.75">
      <c r="AC236" s="644" t="s">
        <v>863</v>
      </c>
      <c r="AD236" s="645">
        <v>17447.337094845298</v>
      </c>
      <c r="AE236" s="645">
        <v>118</v>
      </c>
    </row>
    <row r="237" spans="29:31" ht="15.75">
      <c r="AC237" s="644" t="s">
        <v>845</v>
      </c>
      <c r="AD237" s="645">
        <v>17379.895096746495</v>
      </c>
      <c r="AE237" s="645">
        <v>283</v>
      </c>
    </row>
    <row r="238" spans="29:31" ht="15.75">
      <c r="AC238" s="644" t="s">
        <v>813</v>
      </c>
      <c r="AD238" s="645">
        <v>17372.720738401156</v>
      </c>
      <c r="AE238" s="645">
        <v>390</v>
      </c>
    </row>
    <row r="239" spans="29:31" ht="15.75">
      <c r="AC239" s="644" t="s">
        <v>855</v>
      </c>
      <c r="AD239" s="645">
        <v>17327.518322038577</v>
      </c>
      <c r="AE239" s="645">
        <v>279</v>
      </c>
    </row>
    <row r="240" spans="29:31" ht="15.75">
      <c r="AC240" s="644" t="s">
        <v>887</v>
      </c>
      <c r="AD240" s="645">
        <v>17319.608077029206</v>
      </c>
      <c r="AE240" s="645">
        <v>371</v>
      </c>
    </row>
    <row r="241" spans="29:31" ht="15.75">
      <c r="AC241" s="644" t="s">
        <v>901</v>
      </c>
      <c r="AD241" s="645">
        <v>17175.613289994177</v>
      </c>
      <c r="AE241" s="645">
        <v>328</v>
      </c>
    </row>
    <row r="242" spans="29:31" ht="15.75">
      <c r="AC242" s="644" t="s">
        <v>897</v>
      </c>
      <c r="AD242" s="645">
        <v>17161.820980650689</v>
      </c>
      <c r="AE242" s="645">
        <v>317</v>
      </c>
    </row>
    <row r="243" spans="29:31" ht="15.75">
      <c r="AC243" s="644" t="s">
        <v>860</v>
      </c>
      <c r="AD243" s="645">
        <v>17091.72592070161</v>
      </c>
      <c r="AE243" s="645">
        <v>341</v>
      </c>
    </row>
    <row r="244" spans="29:31" ht="15.75">
      <c r="AC244" s="644" t="s">
        <v>911</v>
      </c>
      <c r="AD244" s="645">
        <v>17091.102235442024</v>
      </c>
      <c r="AE244" s="645">
        <v>268</v>
      </c>
    </row>
    <row r="245" spans="29:31" ht="15.75">
      <c r="AC245" s="644" t="s">
        <v>823</v>
      </c>
      <c r="AD245" s="645">
        <v>16935.963938548342</v>
      </c>
      <c r="AE245" s="645">
        <v>362</v>
      </c>
    </row>
    <row r="246" spans="29:31" ht="15.75">
      <c r="AC246" s="644" t="s">
        <v>891</v>
      </c>
      <c r="AD246" s="645">
        <v>16888.617644353148</v>
      </c>
      <c r="AE246" s="645">
        <v>333</v>
      </c>
    </row>
    <row r="247" spans="29:31" ht="15.75">
      <c r="AC247" s="644" t="s">
        <v>896</v>
      </c>
      <c r="AD247" s="645">
        <v>16324.304437153112</v>
      </c>
      <c r="AE247" s="645">
        <v>268</v>
      </c>
    </row>
    <row r="248" spans="29:31" ht="15.75">
      <c r="AC248" s="644" t="s">
        <v>914</v>
      </c>
      <c r="AD248" s="645">
        <v>16269.580611858973</v>
      </c>
      <c r="AE248" s="645">
        <v>349</v>
      </c>
    </row>
    <row r="249" spans="29:31" ht="15.75">
      <c r="AC249" s="644" t="s">
        <v>933</v>
      </c>
      <c r="AD249" s="645">
        <v>16268.335530955816</v>
      </c>
      <c r="AE249" s="645">
        <v>297</v>
      </c>
    </row>
    <row r="250" spans="29:31" ht="15.75">
      <c r="AC250" s="644" t="s">
        <v>888</v>
      </c>
      <c r="AD250" s="645">
        <v>16142.787735222237</v>
      </c>
      <c r="AE250" s="645">
        <v>300</v>
      </c>
    </row>
    <row r="251" spans="29:31" ht="15.75">
      <c r="AC251" s="644" t="s">
        <v>905</v>
      </c>
      <c r="AD251" s="645">
        <v>16078.805949935082</v>
      </c>
      <c r="AE251" s="645">
        <v>315</v>
      </c>
    </row>
    <row r="252" spans="29:31" ht="15.75">
      <c r="AC252" s="644" t="s">
        <v>1003</v>
      </c>
      <c r="AD252" s="645">
        <v>16066.289442212754</v>
      </c>
      <c r="AE252" s="645">
        <v>320</v>
      </c>
    </row>
    <row r="253" spans="29:31" ht="15.75">
      <c r="AC253" s="644" t="s">
        <v>904</v>
      </c>
      <c r="AD253" s="645">
        <v>16059.579027526475</v>
      </c>
      <c r="AE253" s="645">
        <v>276</v>
      </c>
    </row>
    <row r="254" spans="29:31" ht="15.75">
      <c r="AC254" s="644" t="s">
        <v>885</v>
      </c>
      <c r="AD254" s="645">
        <v>16036.464076538594</v>
      </c>
      <c r="AE254" s="645">
        <v>359</v>
      </c>
    </row>
    <row r="255" spans="29:31" ht="15.75">
      <c r="AC255" s="644" t="s">
        <v>835</v>
      </c>
      <c r="AD255" s="645">
        <v>15780.637821593944</v>
      </c>
      <c r="AE255" s="645">
        <v>255</v>
      </c>
    </row>
    <row r="256" spans="29:31" ht="15.75">
      <c r="AC256" s="644" t="s">
        <v>970</v>
      </c>
      <c r="AD256" s="645">
        <v>15769.971839767742</v>
      </c>
      <c r="AE256" s="645">
        <v>292</v>
      </c>
    </row>
    <row r="257" spans="29:31" ht="15.75">
      <c r="AC257" s="644" t="s">
        <v>886</v>
      </c>
      <c r="AD257" s="645">
        <v>15614.479674547454</v>
      </c>
      <c r="AE257" s="645">
        <v>331</v>
      </c>
    </row>
    <row r="258" spans="29:31" ht="15.75">
      <c r="AC258" s="644" t="s">
        <v>889</v>
      </c>
      <c r="AD258" s="645">
        <v>15587.921621538744</v>
      </c>
      <c r="AE258" s="645">
        <v>298</v>
      </c>
    </row>
    <row r="259" spans="29:31" ht="15.75">
      <c r="AC259" s="644" t="s">
        <v>881</v>
      </c>
      <c r="AD259" s="645">
        <v>15480.805863052341</v>
      </c>
      <c r="AE259" s="645">
        <v>237</v>
      </c>
    </row>
    <row r="260" spans="29:31" ht="15.75">
      <c r="AC260" s="644" t="s">
        <v>844</v>
      </c>
      <c r="AD260" s="645">
        <v>15471.729436897549</v>
      </c>
      <c r="AE260" s="645">
        <v>295</v>
      </c>
    </row>
    <row r="261" spans="29:31" ht="15.75">
      <c r="AC261" s="644" t="s">
        <v>917</v>
      </c>
      <c r="AD261" s="645">
        <v>15283.148825038557</v>
      </c>
      <c r="AE261" s="645">
        <v>287</v>
      </c>
    </row>
    <row r="262" spans="29:31" ht="15.75">
      <c r="AC262" s="644" t="s">
        <v>892</v>
      </c>
      <c r="AD262" s="645">
        <v>15193.586111025937</v>
      </c>
      <c r="AE262" s="645">
        <v>277</v>
      </c>
    </row>
    <row r="263" spans="29:31" ht="15.75">
      <c r="AC263" s="644" t="s">
        <v>884</v>
      </c>
      <c r="AD263" s="645">
        <v>15186.228971819331</v>
      </c>
      <c r="AE263" s="645">
        <v>225</v>
      </c>
    </row>
    <row r="264" spans="29:31" ht="15.75">
      <c r="AC264" s="644" t="s">
        <v>902</v>
      </c>
      <c r="AD264" s="645">
        <v>15105.402011591188</v>
      </c>
      <c r="AE264" s="645">
        <v>301</v>
      </c>
    </row>
    <row r="265" spans="29:31" ht="15.75">
      <c r="AC265" s="644" t="s">
        <v>898</v>
      </c>
      <c r="AD265" s="645">
        <v>15076.171905185358</v>
      </c>
      <c r="AE265" s="645">
        <v>280</v>
      </c>
    </row>
    <row r="266" spans="29:31" ht="15.75">
      <c r="AC266" s="644" t="s">
        <v>960</v>
      </c>
      <c r="AD266" s="645">
        <v>14917.715525436206</v>
      </c>
      <c r="AE266" s="645">
        <v>272</v>
      </c>
    </row>
    <row r="267" spans="29:31" ht="15.75">
      <c r="AC267" s="644" t="s">
        <v>847</v>
      </c>
      <c r="AD267" s="645">
        <v>14724.956272423417</v>
      </c>
      <c r="AE267" s="645">
        <v>330</v>
      </c>
    </row>
    <row r="268" spans="29:31" ht="15.75">
      <c r="AC268" s="644" t="s">
        <v>912</v>
      </c>
      <c r="AD268" s="645">
        <v>14633.340099966264</v>
      </c>
      <c r="AE268" s="645">
        <v>266</v>
      </c>
    </row>
    <row r="269" spans="29:31" ht="15.75">
      <c r="AC269" s="644" t="s">
        <v>919</v>
      </c>
      <c r="AD269" s="645">
        <v>14608.328232804875</v>
      </c>
      <c r="AE269" s="645">
        <v>284</v>
      </c>
    </row>
    <row r="270" spans="29:31" ht="15.75">
      <c r="AC270" s="644" t="s">
        <v>894</v>
      </c>
      <c r="AD270" s="645">
        <v>14533.429946950408</v>
      </c>
      <c r="AE270" s="645">
        <v>225</v>
      </c>
    </row>
    <row r="271" spans="29:31" ht="15.75">
      <c r="AC271" s="644" t="s">
        <v>926</v>
      </c>
      <c r="AD271" s="645">
        <v>14439.091993499122</v>
      </c>
      <c r="AE271" s="645">
        <v>212</v>
      </c>
    </row>
    <row r="272" spans="29:31" ht="15.75">
      <c r="AC272" s="644" t="s">
        <v>920</v>
      </c>
      <c r="AD272" s="645">
        <v>14330.371040446467</v>
      </c>
      <c r="AE272" s="645">
        <v>282</v>
      </c>
    </row>
    <row r="273" spans="29:31" ht="15.75">
      <c r="AC273" s="644" t="s">
        <v>903</v>
      </c>
      <c r="AD273" s="645">
        <v>14298.288000981262</v>
      </c>
      <c r="AE273" s="645">
        <v>278</v>
      </c>
    </row>
    <row r="274" spans="29:31" ht="15.75">
      <c r="AC274" s="644" t="s">
        <v>1039</v>
      </c>
      <c r="AD274" s="645">
        <v>14232.560874142684</v>
      </c>
      <c r="AE274" s="645">
        <v>232</v>
      </c>
    </row>
    <row r="275" spans="29:31" ht="15.75">
      <c r="AC275" s="644" t="s">
        <v>937</v>
      </c>
      <c r="AD275" s="645">
        <v>14137.11603446689</v>
      </c>
      <c r="AE275" s="645">
        <v>282</v>
      </c>
    </row>
    <row r="276" spans="29:31" ht="15.75">
      <c r="AC276" s="644" t="s">
        <v>922</v>
      </c>
      <c r="AD276" s="645">
        <v>14113.128596690285</v>
      </c>
      <c r="AE276" s="645">
        <v>269</v>
      </c>
    </row>
    <row r="277" spans="29:31" ht="15.75">
      <c r="AC277" s="644" t="s">
        <v>893</v>
      </c>
      <c r="AD277" s="645">
        <v>14077.576707246028</v>
      </c>
      <c r="AE277" s="645">
        <v>283</v>
      </c>
    </row>
    <row r="278" spans="29:31" ht="15.75">
      <c r="AC278" s="644" t="s">
        <v>925</v>
      </c>
      <c r="AD278" s="645">
        <v>13963.362617930541</v>
      </c>
      <c r="AE278" s="645">
        <v>216</v>
      </c>
    </row>
    <row r="279" spans="29:31" ht="15.75">
      <c r="AC279" s="644" t="s">
        <v>950</v>
      </c>
      <c r="AD279" s="645">
        <v>13961.715372113704</v>
      </c>
      <c r="AE279" s="645">
        <v>107</v>
      </c>
    </row>
    <row r="280" spans="29:31" ht="15.75">
      <c r="AC280" s="644" t="s">
        <v>931</v>
      </c>
      <c r="AD280" s="645">
        <v>13867.328662107871</v>
      </c>
      <c r="AE280" s="645">
        <v>234</v>
      </c>
    </row>
    <row r="281" spans="29:31" ht="15.75">
      <c r="AC281" s="644" t="s">
        <v>1846</v>
      </c>
      <c r="AD281" s="645">
        <v>13822.917113857287</v>
      </c>
      <c r="AE281" s="645">
        <v>264</v>
      </c>
    </row>
    <row r="282" spans="29:31" ht="15.75">
      <c r="AC282" s="644" t="s">
        <v>934</v>
      </c>
      <c r="AD282" s="645">
        <v>13778.166262917428</v>
      </c>
      <c r="AE282" s="645">
        <v>240</v>
      </c>
    </row>
    <row r="283" spans="29:31" ht="15.75">
      <c r="AC283" s="644" t="s">
        <v>907</v>
      </c>
      <c r="AD283" s="645">
        <v>13706.221980313388</v>
      </c>
      <c r="AE283" s="645">
        <v>275</v>
      </c>
    </row>
    <row r="284" spans="29:31" ht="15.75">
      <c r="AC284" s="644" t="s">
        <v>948</v>
      </c>
      <c r="AD284" s="645">
        <v>13616.985894330133</v>
      </c>
      <c r="AE284" s="645">
        <v>261</v>
      </c>
    </row>
    <row r="285" spans="29:31" ht="15.75">
      <c r="AC285" s="644" t="s">
        <v>913</v>
      </c>
      <c r="AD285" s="645">
        <v>13475.412253534079</v>
      </c>
      <c r="AE285" s="645">
        <v>276</v>
      </c>
    </row>
    <row r="286" spans="29:31" ht="15.75">
      <c r="AC286" s="644" t="s">
        <v>872</v>
      </c>
      <c r="AD286" s="645">
        <v>13432.522032443043</v>
      </c>
      <c r="AE286" s="645">
        <v>275</v>
      </c>
    </row>
    <row r="287" spans="29:31" ht="15.75">
      <c r="AC287" s="644" t="s">
        <v>910</v>
      </c>
      <c r="AD287" s="645">
        <v>13405.905982643899</v>
      </c>
      <c r="AE287" s="645">
        <v>172</v>
      </c>
    </row>
    <row r="288" spans="29:31" ht="15.75">
      <c r="AC288" s="644" t="s">
        <v>895</v>
      </c>
      <c r="AD288" s="645">
        <v>13399.150716016067</v>
      </c>
      <c r="AE288" s="645">
        <v>130</v>
      </c>
    </row>
    <row r="289" spans="29:31" ht="15.75">
      <c r="AC289" s="644" t="s">
        <v>1112</v>
      </c>
      <c r="AD289" s="645">
        <v>13335.377633313914</v>
      </c>
      <c r="AE289" s="645">
        <v>109</v>
      </c>
    </row>
    <row r="290" spans="29:31" ht="15.75">
      <c r="AC290" s="644" t="s">
        <v>900</v>
      </c>
      <c r="AD290" s="645">
        <v>13334.028957509216</v>
      </c>
      <c r="AE290" s="645">
        <v>260</v>
      </c>
    </row>
    <row r="291" spans="29:31" ht="15.75">
      <c r="AC291" s="644" t="s">
        <v>908</v>
      </c>
      <c r="AD291" s="645">
        <v>13327.617828340124</v>
      </c>
      <c r="AE291" s="645">
        <v>242</v>
      </c>
    </row>
    <row r="292" spans="29:31" ht="15.75">
      <c r="AC292" s="644" t="s">
        <v>921</v>
      </c>
      <c r="AD292" s="645">
        <v>13193.260740241032</v>
      </c>
      <c r="AE292" s="645">
        <v>234</v>
      </c>
    </row>
    <row r="293" spans="29:31" ht="15.75">
      <c r="AC293" s="644" t="s">
        <v>962</v>
      </c>
      <c r="AD293" s="645">
        <v>13167.593398955354</v>
      </c>
      <c r="AE293" s="645">
        <v>286</v>
      </c>
    </row>
    <row r="294" spans="29:31" ht="15.75">
      <c r="AC294" s="644" t="s">
        <v>955</v>
      </c>
      <c r="AD294" s="645">
        <v>13116.833430437578</v>
      </c>
      <c r="AE294" s="645">
        <v>245</v>
      </c>
    </row>
    <row r="295" spans="29:31" ht="15.75">
      <c r="AC295" s="644" t="s">
        <v>924</v>
      </c>
      <c r="AD295" s="645">
        <v>13082.462206004111</v>
      </c>
      <c r="AE295" s="645">
        <v>141</v>
      </c>
    </row>
    <row r="296" spans="29:31" ht="15.75">
      <c r="AC296" s="644" t="s">
        <v>930</v>
      </c>
      <c r="AD296" s="645">
        <v>13033.116024245406</v>
      </c>
      <c r="AE296" s="645">
        <v>216</v>
      </c>
    </row>
    <row r="297" spans="29:31" ht="15.75">
      <c r="AC297" s="644" t="s">
        <v>951</v>
      </c>
      <c r="AD297" s="645">
        <v>12958.031584434704</v>
      </c>
      <c r="AE297" s="645">
        <v>249</v>
      </c>
    </row>
    <row r="298" spans="29:31" ht="15.75">
      <c r="AC298" s="644" t="s">
        <v>927</v>
      </c>
      <c r="AD298" s="645">
        <v>12907.781300788076</v>
      </c>
      <c r="AE298" s="645">
        <v>234</v>
      </c>
    </row>
    <row r="299" spans="29:31" ht="15.75">
      <c r="AC299" s="644" t="s">
        <v>980</v>
      </c>
      <c r="AD299" s="645">
        <v>12886.403820796664</v>
      </c>
      <c r="AE299" s="645">
        <v>195</v>
      </c>
    </row>
    <row r="300" spans="29:31" ht="15.75">
      <c r="AC300" s="644" t="s">
        <v>993</v>
      </c>
      <c r="AD300" s="645">
        <v>12858.544662843824</v>
      </c>
      <c r="AE300" s="645">
        <v>235</v>
      </c>
    </row>
    <row r="301" spans="29:31" ht="15.75">
      <c r="AC301" s="644" t="s">
        <v>915</v>
      </c>
      <c r="AD301" s="645">
        <v>12844.008156756923</v>
      </c>
      <c r="AE301" s="645">
        <v>224</v>
      </c>
    </row>
    <row r="302" spans="29:31" ht="15.75">
      <c r="AC302" s="644" t="s">
        <v>971</v>
      </c>
      <c r="AD302" s="645">
        <v>12801.316610959493</v>
      </c>
      <c r="AE302" s="645">
        <v>237</v>
      </c>
    </row>
    <row r="303" spans="29:31" ht="15.75">
      <c r="AC303" s="644" t="s">
        <v>977</v>
      </c>
      <c r="AD303" s="645">
        <v>12785.42430468247</v>
      </c>
      <c r="AE303" s="645">
        <v>234</v>
      </c>
    </row>
    <row r="304" spans="29:31" ht="15.75">
      <c r="AC304" s="644" t="s">
        <v>923</v>
      </c>
      <c r="AD304" s="645">
        <v>12784.073083724283</v>
      </c>
      <c r="AE304" s="645">
        <v>241</v>
      </c>
    </row>
    <row r="305" spans="29:31" ht="15.75">
      <c r="AC305" s="644" t="s">
        <v>945</v>
      </c>
      <c r="AD305" s="645">
        <v>12757.062800895405</v>
      </c>
      <c r="AE305" s="645">
        <v>120</v>
      </c>
    </row>
    <row r="306" spans="29:31" ht="15.75">
      <c r="AC306" s="644" t="s">
        <v>938</v>
      </c>
      <c r="AD306" s="645">
        <v>12748.443010027291</v>
      </c>
      <c r="AE306" s="645">
        <v>197</v>
      </c>
    </row>
    <row r="307" spans="29:31" ht="15.75">
      <c r="AC307" s="644" t="s">
        <v>916</v>
      </c>
      <c r="AD307" s="645">
        <v>12725.149182791078</v>
      </c>
      <c r="AE307" s="645">
        <v>248</v>
      </c>
    </row>
    <row r="308" spans="29:31" ht="15.75">
      <c r="AC308" s="644" t="s">
        <v>942</v>
      </c>
      <c r="AD308" s="645">
        <v>12713.980712029679</v>
      </c>
      <c r="AE308" s="645">
        <v>272</v>
      </c>
    </row>
    <row r="309" spans="29:31" ht="15.75">
      <c r="AC309" s="644" t="s">
        <v>939</v>
      </c>
      <c r="AD309" s="645">
        <v>12532.334488362825</v>
      </c>
      <c r="AE309" s="645">
        <v>222</v>
      </c>
    </row>
    <row r="310" spans="29:31" ht="15.75">
      <c r="AC310" s="644" t="s">
        <v>956</v>
      </c>
      <c r="AD310" s="645">
        <v>12508.671920517616</v>
      </c>
      <c r="AE310" s="645">
        <v>147</v>
      </c>
    </row>
    <row r="311" spans="29:31" ht="15.75">
      <c r="AC311" s="644" t="s">
        <v>929</v>
      </c>
      <c r="AD311" s="645">
        <v>12464.200806476347</v>
      </c>
      <c r="AE311" s="645">
        <v>259</v>
      </c>
    </row>
    <row r="312" spans="29:31" ht="15.75">
      <c r="AC312" s="644" t="s">
        <v>941</v>
      </c>
      <c r="AD312" s="645">
        <v>12431.484468430897</v>
      </c>
      <c r="AE312" s="645">
        <v>241</v>
      </c>
    </row>
    <row r="313" spans="29:31" ht="15.75">
      <c r="AC313" s="644" t="s">
        <v>928</v>
      </c>
      <c r="AD313" s="645">
        <v>12429.241666922208</v>
      </c>
      <c r="AE313" s="645">
        <v>275</v>
      </c>
    </row>
    <row r="314" spans="29:31" ht="15.75">
      <c r="AC314" s="644" t="s">
        <v>954</v>
      </c>
      <c r="AD314" s="645">
        <v>12362.127349667291</v>
      </c>
      <c r="AE314" s="645">
        <v>204</v>
      </c>
    </row>
    <row r="315" spans="29:31" ht="15.75">
      <c r="AC315" s="644" t="s">
        <v>953</v>
      </c>
      <c r="AD315" s="645">
        <v>12148.839808653513</v>
      </c>
      <c r="AE315" s="645">
        <v>127</v>
      </c>
    </row>
    <row r="316" spans="29:31" ht="15.75">
      <c r="AC316" s="644" t="s">
        <v>988</v>
      </c>
      <c r="AD316" s="645">
        <v>12119.748694203394</v>
      </c>
      <c r="AE316" s="645">
        <v>242</v>
      </c>
    </row>
    <row r="317" spans="29:31" ht="15.75">
      <c r="AC317" s="644" t="s">
        <v>990</v>
      </c>
      <c r="AD317" s="645">
        <v>12043.484683082395</v>
      </c>
      <c r="AE317" s="645">
        <v>244</v>
      </c>
    </row>
    <row r="318" spans="29:31" ht="15.75">
      <c r="AC318" s="644" t="s">
        <v>940</v>
      </c>
      <c r="AD318" s="645">
        <v>12033.03049584496</v>
      </c>
      <c r="AE318" s="645">
        <v>271</v>
      </c>
    </row>
    <row r="319" spans="29:31" ht="15.75">
      <c r="AC319" s="644" t="s">
        <v>1069</v>
      </c>
      <c r="AD319" s="645">
        <v>12023.840115298517</v>
      </c>
      <c r="AE319" s="645">
        <v>142</v>
      </c>
    </row>
    <row r="320" spans="29:31" ht="15.75">
      <c r="AC320" s="644" t="s">
        <v>964</v>
      </c>
      <c r="AD320" s="645">
        <v>12012.92365561722</v>
      </c>
      <c r="AE320" s="645">
        <v>231</v>
      </c>
    </row>
    <row r="321" spans="29:31" ht="15.75">
      <c r="AC321" s="644" t="s">
        <v>949</v>
      </c>
      <c r="AD321" s="645">
        <v>11913.265493238467</v>
      </c>
      <c r="AE321" s="645">
        <v>230</v>
      </c>
    </row>
    <row r="322" spans="29:31" ht="15.75">
      <c r="AC322" s="644" t="s">
        <v>982</v>
      </c>
      <c r="AD322" s="645">
        <v>11858.011023887639</v>
      </c>
      <c r="AE322" s="645">
        <v>228</v>
      </c>
    </row>
    <row r="323" spans="29:31" ht="15.75">
      <c r="AC323" s="644" t="s">
        <v>1036</v>
      </c>
      <c r="AD323" s="645">
        <v>11808.9685995523</v>
      </c>
      <c r="AE323" s="645">
        <v>247</v>
      </c>
    </row>
    <row r="324" spans="29:31" ht="15.75">
      <c r="AC324" s="644" t="s">
        <v>946</v>
      </c>
      <c r="AD324" s="645">
        <v>11808.035938793661</v>
      </c>
      <c r="AE324" s="645">
        <v>263</v>
      </c>
    </row>
    <row r="325" spans="29:31" ht="15.75">
      <c r="AC325" s="644" t="s">
        <v>966</v>
      </c>
      <c r="AD325" s="645">
        <v>11781.648643095896</v>
      </c>
      <c r="AE325" s="645">
        <v>180</v>
      </c>
    </row>
    <row r="326" spans="29:31" ht="15.75">
      <c r="AC326" s="644" t="s">
        <v>909</v>
      </c>
      <c r="AD326" s="645">
        <v>11776.978044218204</v>
      </c>
      <c r="AE326" s="645">
        <v>263</v>
      </c>
    </row>
    <row r="327" spans="29:31" ht="15.75">
      <c r="AC327" s="644" t="s">
        <v>985</v>
      </c>
      <c r="AD327" s="645">
        <v>11735.836864861549</v>
      </c>
      <c r="AE327" s="645">
        <v>210</v>
      </c>
    </row>
    <row r="328" spans="29:31" ht="15.75">
      <c r="AC328" s="644" t="s">
        <v>1805</v>
      </c>
      <c r="AD328" s="645">
        <v>11666.446904418755</v>
      </c>
      <c r="AE328" s="645">
        <v>231</v>
      </c>
    </row>
    <row r="329" spans="29:31" ht="15.75">
      <c r="AC329" s="644" t="s">
        <v>999</v>
      </c>
      <c r="AD329" s="645">
        <v>11654.716813345187</v>
      </c>
      <c r="AE329" s="645">
        <v>207</v>
      </c>
    </row>
    <row r="330" spans="29:31" ht="15.75">
      <c r="AC330" s="644" t="s">
        <v>963</v>
      </c>
      <c r="AD330" s="645">
        <v>11533.296035080186</v>
      </c>
      <c r="AE330" s="645">
        <v>117</v>
      </c>
    </row>
    <row r="331" spans="29:31" ht="15.75">
      <c r="AC331" s="644" t="s">
        <v>1040</v>
      </c>
      <c r="AD331" s="645">
        <v>11343.852381098399</v>
      </c>
      <c r="AE331" s="645">
        <v>191</v>
      </c>
    </row>
    <row r="332" spans="29:31" ht="15.75">
      <c r="AC332" s="644" t="s">
        <v>958</v>
      </c>
      <c r="AD332" s="645">
        <v>11298.342522461742</v>
      </c>
      <c r="AE332" s="645">
        <v>244</v>
      </c>
    </row>
    <row r="333" spans="29:31" ht="15.75">
      <c r="AC333" s="644" t="s">
        <v>932</v>
      </c>
      <c r="AD333" s="645">
        <v>11233.66802612615</v>
      </c>
      <c r="AE333" s="645">
        <v>241</v>
      </c>
    </row>
    <row r="334" spans="29:31" ht="15.75">
      <c r="AC334" s="644" t="s">
        <v>943</v>
      </c>
      <c r="AD334" s="645">
        <v>11232.431081536903</v>
      </c>
      <c r="AE334" s="645">
        <v>220</v>
      </c>
    </row>
    <row r="335" spans="29:31" ht="15.75">
      <c r="AC335" s="644" t="s">
        <v>991</v>
      </c>
      <c r="AD335" s="645">
        <v>11178.285731808288</v>
      </c>
      <c r="AE335" s="645">
        <v>246</v>
      </c>
    </row>
    <row r="336" spans="29:31" ht="15.75">
      <c r="AC336" s="644" t="s">
        <v>918</v>
      </c>
      <c r="AD336" s="645">
        <v>11151.315200392508</v>
      </c>
      <c r="AE336" s="645">
        <v>224</v>
      </c>
    </row>
    <row r="337" spans="29:31" ht="15.75">
      <c r="AC337" s="644" t="s">
        <v>983</v>
      </c>
      <c r="AD337" s="645">
        <v>11118.479807426942</v>
      </c>
      <c r="AE337" s="645">
        <v>265</v>
      </c>
    </row>
    <row r="338" spans="29:31" ht="15.75">
      <c r="AC338" s="644" t="s">
        <v>952</v>
      </c>
      <c r="AD338" s="645">
        <v>11061.817944865232</v>
      </c>
      <c r="AE338" s="645">
        <v>258</v>
      </c>
    </row>
    <row r="339" spans="29:31" ht="15.75">
      <c r="AC339" s="644" t="s">
        <v>969</v>
      </c>
      <c r="AD339" s="645">
        <v>11007.345374260216</v>
      </c>
      <c r="AE339" s="645">
        <v>170</v>
      </c>
    </row>
    <row r="340" spans="29:31" ht="15.75">
      <c r="AC340" s="644" t="s">
        <v>967</v>
      </c>
      <c r="AD340" s="645">
        <v>11003.707644659775</v>
      </c>
      <c r="AE340" s="645">
        <v>219</v>
      </c>
    </row>
    <row r="341" spans="29:31" ht="15.75">
      <c r="AC341" s="644" t="s">
        <v>978</v>
      </c>
      <c r="AD341" s="645">
        <v>10914.894360798507</v>
      </c>
      <c r="AE341" s="645">
        <v>205</v>
      </c>
    </row>
    <row r="342" spans="29:31" ht="15.75">
      <c r="AC342" s="644" t="s">
        <v>906</v>
      </c>
      <c r="AD342" s="645">
        <v>10902.577964490509</v>
      </c>
      <c r="AE342" s="645">
        <v>205</v>
      </c>
    </row>
    <row r="343" spans="29:31" ht="15.75">
      <c r="AC343" s="644" t="s">
        <v>1041</v>
      </c>
      <c r="AD343" s="645">
        <v>10882.927171813189</v>
      </c>
      <c r="AE343" s="645">
        <v>169</v>
      </c>
    </row>
    <row r="344" spans="29:31" ht="15.75">
      <c r="AC344" s="644" t="s">
        <v>981</v>
      </c>
      <c r="AD344" s="645">
        <v>10842.472683041518</v>
      </c>
      <c r="AE344" s="645">
        <v>207</v>
      </c>
    </row>
    <row r="345" spans="29:31" ht="15.75">
      <c r="AC345" s="644" t="s">
        <v>936</v>
      </c>
      <c r="AD345" s="645">
        <v>10775.56045506117</v>
      </c>
      <c r="AE345" s="645">
        <v>149</v>
      </c>
    </row>
    <row r="346" spans="29:31" ht="15.75">
      <c r="AC346" s="644" t="s">
        <v>1068</v>
      </c>
      <c r="AD346" s="645">
        <v>10771.436509153351</v>
      </c>
      <c r="AE346" s="645">
        <v>201</v>
      </c>
    </row>
    <row r="347" spans="29:31" ht="15.75">
      <c r="AC347" s="644" t="s">
        <v>1018</v>
      </c>
      <c r="AD347" s="645">
        <v>10747.654779062279</v>
      </c>
      <c r="AE347" s="645">
        <v>200</v>
      </c>
    </row>
    <row r="348" spans="29:31" ht="15.75">
      <c r="AC348" s="644" t="s">
        <v>1032</v>
      </c>
      <c r="AD348" s="645">
        <v>10704.976848302724</v>
      </c>
      <c r="AE348" s="645">
        <v>131</v>
      </c>
    </row>
    <row r="349" spans="29:31" ht="15.75">
      <c r="AC349" s="644" t="s">
        <v>961</v>
      </c>
      <c r="AD349" s="645">
        <v>10699.689368617948</v>
      </c>
      <c r="AE349" s="645">
        <v>211</v>
      </c>
    </row>
    <row r="350" spans="29:31" ht="15.75">
      <c r="AC350" s="644" t="s">
        <v>959</v>
      </c>
      <c r="AD350" s="645">
        <v>10657.702186378832</v>
      </c>
      <c r="AE350" s="645">
        <v>146</v>
      </c>
    </row>
    <row r="351" spans="29:31" ht="15.75">
      <c r="AC351" s="644" t="s">
        <v>1057</v>
      </c>
      <c r="AD351" s="645">
        <v>10525.400631688697</v>
      </c>
      <c r="AE351" s="645">
        <v>145</v>
      </c>
    </row>
    <row r="352" spans="29:31" ht="15.75">
      <c r="AC352" s="644" t="s">
        <v>1002</v>
      </c>
      <c r="AD352" s="645">
        <v>10395.071110974821</v>
      </c>
      <c r="AE352" s="645">
        <v>210</v>
      </c>
    </row>
    <row r="353" spans="29:31" ht="15.75">
      <c r="AC353" s="644" t="s">
        <v>973</v>
      </c>
      <c r="AD353" s="645">
        <v>10393.282328048819</v>
      </c>
      <c r="AE353" s="645">
        <v>191</v>
      </c>
    </row>
    <row r="354" spans="29:31" ht="15.75">
      <c r="AC354" s="644" t="s">
        <v>1043</v>
      </c>
      <c r="AD354" s="645">
        <v>10376.552891151232</v>
      </c>
      <c r="AE354" s="645">
        <v>185</v>
      </c>
    </row>
    <row r="355" spans="29:31" ht="15.75">
      <c r="AC355" s="644" t="s">
        <v>984</v>
      </c>
      <c r="AD355" s="645">
        <v>10335.718632772161</v>
      </c>
      <c r="AE355" s="645">
        <v>179</v>
      </c>
    </row>
    <row r="356" spans="29:31" ht="15.75">
      <c r="AC356" s="644" t="s">
        <v>1052</v>
      </c>
      <c r="AD356" s="645">
        <v>10299.288215632765</v>
      </c>
      <c r="AE356" s="645">
        <v>202</v>
      </c>
    </row>
    <row r="357" spans="29:31" ht="15.75">
      <c r="AC357" s="644" t="s">
        <v>979</v>
      </c>
      <c r="AD357" s="645">
        <v>10271.137039649198</v>
      </c>
      <c r="AE357" s="645">
        <v>159</v>
      </c>
    </row>
    <row r="358" spans="29:31" ht="15.75">
      <c r="AC358" s="644" t="s">
        <v>1147</v>
      </c>
      <c r="AD358" s="645">
        <v>10164.178958020299</v>
      </c>
      <c r="AE358" s="645">
        <v>155</v>
      </c>
    </row>
    <row r="359" spans="29:31" ht="15.75">
      <c r="AC359" s="644" t="s">
        <v>1019</v>
      </c>
      <c r="AD359" s="645">
        <v>10100.43052957591</v>
      </c>
      <c r="AE359" s="645">
        <v>212</v>
      </c>
    </row>
    <row r="360" spans="29:31" ht="15.75">
      <c r="AC360" s="644" t="s">
        <v>1001</v>
      </c>
      <c r="AD360" s="645">
        <v>9989.7875461245276</v>
      </c>
      <c r="AE360" s="645">
        <v>178</v>
      </c>
    </row>
    <row r="361" spans="29:31" ht="15.75">
      <c r="AC361" s="644" t="s">
        <v>974</v>
      </c>
      <c r="AD361" s="645">
        <v>9917.3039771856184</v>
      </c>
      <c r="AE361" s="645">
        <v>164</v>
      </c>
    </row>
    <row r="362" spans="29:31" ht="15.75">
      <c r="AC362" s="644" t="s">
        <v>989</v>
      </c>
      <c r="AD362" s="645">
        <v>9901.0524567375141</v>
      </c>
      <c r="AE362" s="645">
        <v>190</v>
      </c>
    </row>
    <row r="363" spans="29:31" ht="15.75">
      <c r="AC363" s="644" t="s">
        <v>1029</v>
      </c>
      <c r="AD363" s="645">
        <v>9899.1428965686428</v>
      </c>
      <c r="AE363" s="645">
        <v>146</v>
      </c>
    </row>
    <row r="364" spans="29:31" ht="15.75">
      <c r="AC364" s="644" t="s">
        <v>1000</v>
      </c>
      <c r="AD364" s="645">
        <v>9872.0332096531874</v>
      </c>
      <c r="AE364" s="645">
        <v>205</v>
      </c>
    </row>
    <row r="365" spans="29:31" ht="15.75">
      <c r="AC365" s="644" t="s">
        <v>1014</v>
      </c>
      <c r="AD365" s="645">
        <v>9871.6282849345298</v>
      </c>
      <c r="AE365" s="645">
        <v>181</v>
      </c>
    </row>
    <row r="366" spans="29:31" ht="15.75">
      <c r="AC366" s="644" t="s">
        <v>1061</v>
      </c>
      <c r="AD366" s="645">
        <v>9828.1313053877511</v>
      </c>
      <c r="AE366" s="645">
        <v>180</v>
      </c>
    </row>
    <row r="367" spans="29:31" ht="15.75">
      <c r="AC367" s="644" t="s">
        <v>1017</v>
      </c>
      <c r="AD367" s="645">
        <v>9705.6208027966077</v>
      </c>
      <c r="AE367" s="645">
        <v>153</v>
      </c>
    </row>
    <row r="368" spans="29:31" ht="15.75">
      <c r="AC368" s="644" t="s">
        <v>1010</v>
      </c>
      <c r="AD368" s="645">
        <v>9688.7531814418435</v>
      </c>
      <c r="AE368" s="645">
        <v>181</v>
      </c>
    </row>
    <row r="369" spans="29:31" ht="15.75">
      <c r="AC369" s="644" t="s">
        <v>968</v>
      </c>
      <c r="AD369" s="645">
        <v>9656.5836067584569</v>
      </c>
      <c r="AE369" s="645">
        <v>208</v>
      </c>
    </row>
    <row r="370" spans="29:31" ht="15.75">
      <c r="AC370" s="644" t="s">
        <v>947</v>
      </c>
      <c r="AD370" s="645">
        <v>9649.8055870718454</v>
      </c>
      <c r="AE370" s="645">
        <v>187</v>
      </c>
    </row>
    <row r="371" spans="29:31" ht="15.75">
      <c r="AC371" s="644" t="s">
        <v>1021</v>
      </c>
      <c r="AD371" s="645">
        <v>9610.2385698077323</v>
      </c>
      <c r="AE371" s="645">
        <v>191</v>
      </c>
    </row>
    <row r="372" spans="29:31" ht="15.75">
      <c r="AC372" s="644" t="s">
        <v>1033</v>
      </c>
      <c r="AD372" s="645">
        <v>9609.0762626107698</v>
      </c>
      <c r="AE372" s="645">
        <v>178</v>
      </c>
    </row>
    <row r="373" spans="29:31" ht="15.75">
      <c r="AC373" s="644" t="s">
        <v>994</v>
      </c>
      <c r="AD373" s="645">
        <v>9544.5619576216632</v>
      </c>
      <c r="AE373" s="645">
        <v>186</v>
      </c>
    </row>
    <row r="374" spans="29:31" ht="15.75">
      <c r="AC374" s="644" t="s">
        <v>1027</v>
      </c>
      <c r="AD374" s="645">
        <v>9477.8367422035553</v>
      </c>
      <c r="AE374" s="645">
        <v>179</v>
      </c>
    </row>
    <row r="375" spans="29:31" ht="15.75">
      <c r="AC375" s="644" t="s">
        <v>1008</v>
      </c>
      <c r="AD375" s="645">
        <v>9448.0811178232216</v>
      </c>
      <c r="AE375" s="645">
        <v>181</v>
      </c>
    </row>
    <row r="376" spans="29:31" ht="15.75">
      <c r="AC376" s="644" t="s">
        <v>935</v>
      </c>
      <c r="AD376" s="645">
        <v>9414.001410566987</v>
      </c>
      <c r="AE376" s="645">
        <v>200</v>
      </c>
    </row>
    <row r="377" spans="29:31" ht="15.75">
      <c r="AC377" s="644" t="s">
        <v>1013</v>
      </c>
      <c r="AD377" s="645">
        <v>9407.168848956886</v>
      </c>
      <c r="AE377" s="645">
        <v>187</v>
      </c>
    </row>
    <row r="378" spans="29:31" ht="15.75">
      <c r="AC378" s="644" t="s">
        <v>1007</v>
      </c>
      <c r="AD378" s="645">
        <v>9385.3542056361348</v>
      </c>
      <c r="AE378" s="645">
        <v>144</v>
      </c>
    </row>
    <row r="379" spans="29:31" ht="15.75">
      <c r="AC379" s="644" t="s">
        <v>1044</v>
      </c>
      <c r="AD379" s="645">
        <v>9382.8758701051866</v>
      </c>
      <c r="AE379" s="645">
        <v>173</v>
      </c>
    </row>
    <row r="380" spans="29:31" ht="15.75">
      <c r="AC380" s="644" t="s">
        <v>992</v>
      </c>
      <c r="AD380" s="645">
        <v>9302.4139094170678</v>
      </c>
      <c r="AE380" s="645">
        <v>211</v>
      </c>
    </row>
    <row r="381" spans="29:31" ht="15.75">
      <c r="AC381" s="644" t="s">
        <v>997</v>
      </c>
      <c r="AD381" s="645">
        <v>9298.658632567749</v>
      </c>
      <c r="AE381" s="645">
        <v>182</v>
      </c>
    </row>
    <row r="382" spans="29:31" ht="15.75">
      <c r="AC382" s="644" t="s">
        <v>1028</v>
      </c>
      <c r="AD382" s="645">
        <v>9287.3554935451248</v>
      </c>
      <c r="AE382" s="645">
        <v>136</v>
      </c>
    </row>
    <row r="383" spans="29:31" ht="15.75">
      <c r="AC383" s="644" t="s">
        <v>1519</v>
      </c>
      <c r="AD383" s="645">
        <v>9272.1949648891496</v>
      </c>
      <c r="AE383" s="645">
        <v>165</v>
      </c>
    </row>
    <row r="384" spans="29:31" ht="15.75">
      <c r="AC384" s="644" t="s">
        <v>996</v>
      </c>
      <c r="AD384" s="645">
        <v>9204.1285915794342</v>
      </c>
      <c r="AE384" s="645">
        <v>0</v>
      </c>
    </row>
    <row r="385" spans="29:31" ht="15.75">
      <c r="AC385" s="644" t="s">
        <v>972</v>
      </c>
      <c r="AD385" s="645">
        <v>9187.1289748857744</v>
      </c>
      <c r="AE385" s="645">
        <v>113</v>
      </c>
    </row>
    <row r="386" spans="29:31" ht="15.75">
      <c r="AC386" s="644" t="s">
        <v>1050</v>
      </c>
      <c r="AD386" s="645">
        <v>9174.4376130753444</v>
      </c>
      <c r="AE386" s="645">
        <v>212</v>
      </c>
    </row>
    <row r="387" spans="29:31" ht="15.75">
      <c r="AC387" s="644" t="s">
        <v>995</v>
      </c>
      <c r="AD387" s="645">
        <v>9157.1285762472799</v>
      </c>
      <c r="AE387" s="645">
        <v>182</v>
      </c>
    </row>
    <row r="388" spans="29:31" ht="15.75">
      <c r="AC388" s="644" t="s">
        <v>986</v>
      </c>
      <c r="AD388" s="645">
        <v>9142.2599736285247</v>
      </c>
      <c r="AE388" s="645">
        <v>148</v>
      </c>
    </row>
    <row r="389" spans="29:31" ht="15.75">
      <c r="AC389" s="644" t="s">
        <v>1049</v>
      </c>
      <c r="AD389" s="645">
        <v>9088.1573456809056</v>
      </c>
      <c r="AE389" s="645">
        <v>75</v>
      </c>
    </row>
    <row r="390" spans="29:31" ht="15.75">
      <c r="AC390" s="644" t="s">
        <v>1042</v>
      </c>
      <c r="AD390" s="645">
        <v>9087.364232927539</v>
      </c>
      <c r="AE390" s="645">
        <v>156</v>
      </c>
    </row>
    <row r="391" spans="29:31" ht="15.75">
      <c r="AC391" s="644" t="s">
        <v>1011</v>
      </c>
      <c r="AD391" s="645">
        <v>9008.0181533838258</v>
      </c>
      <c r="AE391" s="645">
        <v>163</v>
      </c>
    </row>
    <row r="392" spans="29:31" ht="15.75">
      <c r="AC392" s="644" t="s">
        <v>1847</v>
      </c>
      <c r="AD392" s="645">
        <v>8996.473582533501</v>
      </c>
      <c r="AE392" s="645">
        <v>174</v>
      </c>
    </row>
    <row r="393" spans="29:31" ht="15.75">
      <c r="AC393" s="644" t="s">
        <v>1024</v>
      </c>
      <c r="AD393" s="645">
        <v>8986.5315384379483</v>
      </c>
      <c r="AE393" s="645">
        <v>153</v>
      </c>
    </row>
    <row r="394" spans="29:31" ht="15.75">
      <c r="AC394" s="644" t="s">
        <v>1045</v>
      </c>
      <c r="AD394" s="645">
        <v>8970.5922439258829</v>
      </c>
      <c r="AE394" s="645">
        <v>165</v>
      </c>
    </row>
    <row r="395" spans="29:31" ht="15.75">
      <c r="AC395" s="644" t="s">
        <v>1023</v>
      </c>
      <c r="AD395" s="645">
        <v>8946.2161540584475</v>
      </c>
      <c r="AE395" s="645">
        <v>166</v>
      </c>
    </row>
    <row r="396" spans="29:31" ht="15.75">
      <c r="AC396" s="644" t="s">
        <v>1015</v>
      </c>
      <c r="AD396" s="645">
        <v>8938.4251632884625</v>
      </c>
      <c r="AE396" s="645">
        <v>188</v>
      </c>
    </row>
    <row r="397" spans="29:31" ht="15.75">
      <c r="AC397" s="644" t="s">
        <v>965</v>
      </c>
      <c r="AD397" s="645">
        <v>8883.4893134218528</v>
      </c>
      <c r="AE397" s="645">
        <v>162</v>
      </c>
    </row>
    <row r="398" spans="29:31" ht="15.75">
      <c r="AC398" s="644" t="s">
        <v>1025</v>
      </c>
      <c r="AD398" s="645">
        <v>8871.5607617061723</v>
      </c>
      <c r="AE398" s="645">
        <v>137</v>
      </c>
    </row>
    <row r="399" spans="29:31" ht="15.75">
      <c r="AC399" s="644" t="s">
        <v>1079</v>
      </c>
      <c r="AD399" s="645">
        <v>8824.1864708227295</v>
      </c>
      <c r="AE399" s="645">
        <v>181</v>
      </c>
    </row>
    <row r="400" spans="29:31" ht="15.75">
      <c r="AC400" s="644" t="s">
        <v>1038</v>
      </c>
      <c r="AD400" s="645">
        <v>8742.2955444481941</v>
      </c>
      <c r="AE400" s="645">
        <v>72</v>
      </c>
    </row>
    <row r="401" spans="29:31" ht="15.75">
      <c r="AC401" s="644" t="s">
        <v>1022</v>
      </c>
      <c r="AD401" s="645">
        <v>8722.0199421463294</v>
      </c>
      <c r="AE401" s="645">
        <v>163</v>
      </c>
    </row>
    <row r="402" spans="29:31" ht="15.75">
      <c r="AC402" s="644" t="s">
        <v>1016</v>
      </c>
      <c r="AD402" s="645">
        <v>8719.3681273189995</v>
      </c>
      <c r="AE402" s="645">
        <v>127</v>
      </c>
    </row>
    <row r="403" spans="29:31" ht="15.75">
      <c r="AC403" s="644" t="s">
        <v>1031</v>
      </c>
      <c r="AD403" s="645">
        <v>8667.2329888687855</v>
      </c>
      <c r="AE403" s="645">
        <v>180</v>
      </c>
    </row>
    <row r="404" spans="29:31" ht="15.75">
      <c r="AC404" s="644" t="s">
        <v>957</v>
      </c>
      <c r="AD404" s="645">
        <v>8634.4870851348933</v>
      </c>
      <c r="AE404" s="645">
        <v>193</v>
      </c>
    </row>
    <row r="405" spans="29:31" ht="15.75">
      <c r="AC405" s="644" t="s">
        <v>1009</v>
      </c>
      <c r="AD405" s="645">
        <v>8627.13489313422</v>
      </c>
      <c r="AE405" s="645">
        <v>176</v>
      </c>
    </row>
    <row r="406" spans="29:31" ht="15.75">
      <c r="AC406" s="644" t="s">
        <v>1848</v>
      </c>
      <c r="AD406" s="645">
        <v>8561.5283186654815</v>
      </c>
      <c r="AE406" s="645">
        <v>70</v>
      </c>
    </row>
    <row r="407" spans="29:31" ht="15.75">
      <c r="AC407" s="644" t="s">
        <v>1035</v>
      </c>
      <c r="AD407" s="645">
        <v>8557.8485787004392</v>
      </c>
      <c r="AE407" s="645">
        <v>88</v>
      </c>
    </row>
    <row r="408" spans="29:31" ht="15.75">
      <c r="AC408" s="644" t="s">
        <v>1056</v>
      </c>
      <c r="AD408" s="645">
        <v>8557.1862255067317</v>
      </c>
      <c r="AE408" s="645">
        <v>84</v>
      </c>
    </row>
    <row r="409" spans="29:31" ht="15.75">
      <c r="AC409" s="644" t="s">
        <v>1110</v>
      </c>
      <c r="AD409" s="645">
        <v>8555.7272024776885</v>
      </c>
      <c r="AE409" s="645">
        <v>100</v>
      </c>
    </row>
    <row r="410" spans="29:31" ht="15.75">
      <c r="AC410" s="644" t="s">
        <v>1849</v>
      </c>
      <c r="AD410" s="645">
        <v>8457.2690196559452</v>
      </c>
      <c r="AE410" s="645">
        <v>70</v>
      </c>
    </row>
    <row r="411" spans="29:31" ht="15.75">
      <c r="AC411" s="644" t="s">
        <v>1089</v>
      </c>
      <c r="AD411" s="645">
        <v>8433.3205053509573</v>
      </c>
      <c r="AE411" s="645">
        <v>97</v>
      </c>
    </row>
    <row r="412" spans="29:31" ht="15.75">
      <c r="AC412" s="644" t="s">
        <v>1078</v>
      </c>
      <c r="AD412" s="645">
        <v>8253.3500965931744</v>
      </c>
      <c r="AE412" s="645">
        <v>156</v>
      </c>
    </row>
    <row r="413" spans="29:31" ht="15.75">
      <c r="AC413" s="644" t="s">
        <v>1026</v>
      </c>
      <c r="AD413" s="645">
        <v>8197.3276399578972</v>
      </c>
      <c r="AE413" s="645">
        <v>155</v>
      </c>
    </row>
    <row r="414" spans="29:31" ht="15.75">
      <c r="AC414" s="644" t="s">
        <v>1099</v>
      </c>
      <c r="AD414" s="645">
        <v>8183.9192297077689</v>
      </c>
      <c r="AE414" s="645">
        <v>146</v>
      </c>
    </row>
    <row r="415" spans="29:31" ht="15.75">
      <c r="AC415" s="644" t="s">
        <v>1054</v>
      </c>
      <c r="AD415" s="645">
        <v>8166.5897703228957</v>
      </c>
      <c r="AE415" s="645">
        <v>157</v>
      </c>
    </row>
    <row r="416" spans="29:31" ht="15.75">
      <c r="AC416" s="644" t="s">
        <v>1124</v>
      </c>
      <c r="AD416" s="645">
        <v>8157.0635675078966</v>
      </c>
      <c r="AE416" s="645">
        <v>155</v>
      </c>
    </row>
    <row r="417" spans="29:31" ht="15.75">
      <c r="AC417" s="644" t="s">
        <v>1037</v>
      </c>
      <c r="AD417" s="645">
        <v>8113.098034405567</v>
      </c>
      <c r="AE417" s="645">
        <v>179</v>
      </c>
    </row>
    <row r="418" spans="29:31" ht="15.75">
      <c r="AC418" s="644" t="s">
        <v>1012</v>
      </c>
      <c r="AD418" s="645">
        <v>8111.3586417671013</v>
      </c>
      <c r="AE418" s="645">
        <v>166</v>
      </c>
    </row>
    <row r="419" spans="29:31" ht="15.75">
      <c r="AC419" s="644" t="s">
        <v>1055</v>
      </c>
      <c r="AD419" s="645">
        <v>8038.6985986323643</v>
      </c>
      <c r="AE419" s="645">
        <v>144</v>
      </c>
    </row>
    <row r="420" spans="29:31" ht="15.75">
      <c r="AC420" s="644" t="s">
        <v>1053</v>
      </c>
      <c r="AD420" s="645">
        <v>7998.7726533991627</v>
      </c>
      <c r="AE420" s="645">
        <v>169</v>
      </c>
    </row>
    <row r="421" spans="29:31" ht="15.75">
      <c r="AC421" s="644" t="s">
        <v>1005</v>
      </c>
      <c r="AD421" s="645">
        <v>7911.9156112968021</v>
      </c>
      <c r="AE421" s="645">
        <v>150</v>
      </c>
    </row>
    <row r="422" spans="29:31" ht="15.75">
      <c r="AC422" s="644" t="s">
        <v>1072</v>
      </c>
      <c r="AD422" s="645">
        <v>7856.1701470873932</v>
      </c>
      <c r="AE422" s="645">
        <v>159</v>
      </c>
    </row>
    <row r="423" spans="29:31" ht="15.75">
      <c r="AC423" s="644" t="s">
        <v>1067</v>
      </c>
      <c r="AD423" s="645">
        <v>7844.6877433994696</v>
      </c>
      <c r="AE423" s="645">
        <v>157</v>
      </c>
    </row>
    <row r="424" spans="29:31" ht="15.75">
      <c r="AC424" s="644" t="s">
        <v>975</v>
      </c>
      <c r="AD424" s="645">
        <v>7843.3657354880252</v>
      </c>
      <c r="AE424" s="645">
        <v>98</v>
      </c>
    </row>
    <row r="425" spans="29:31" ht="15.75">
      <c r="AC425" s="644" t="s">
        <v>976</v>
      </c>
      <c r="AD425" s="645">
        <v>7840.2992855171569</v>
      </c>
      <c r="AE425" s="645">
        <v>76</v>
      </c>
    </row>
    <row r="426" spans="29:31" ht="15.75">
      <c r="AC426" s="644" t="s">
        <v>1062</v>
      </c>
      <c r="AD426" s="645">
        <v>7800.5428536383433</v>
      </c>
      <c r="AE426" s="645">
        <v>154</v>
      </c>
    </row>
    <row r="427" spans="29:31" ht="15.75">
      <c r="AC427" s="644" t="s">
        <v>1083</v>
      </c>
      <c r="AD427" s="645">
        <v>7754.853117046393</v>
      </c>
      <c r="AE427" s="645">
        <v>141</v>
      </c>
    </row>
    <row r="428" spans="29:31" ht="15.75">
      <c r="AC428" s="644" t="s">
        <v>1123</v>
      </c>
      <c r="AD428" s="645">
        <v>7744.976286120238</v>
      </c>
      <c r="AE428" s="645">
        <v>145</v>
      </c>
    </row>
    <row r="429" spans="29:31" ht="15.75">
      <c r="AC429" s="644" t="s">
        <v>1006</v>
      </c>
      <c r="AD429" s="645">
        <v>7731.0223544202881</v>
      </c>
      <c r="AE429" s="645">
        <v>135</v>
      </c>
    </row>
    <row r="430" spans="29:31" ht="15.75">
      <c r="AC430" s="644" t="s">
        <v>1095</v>
      </c>
      <c r="AD430" s="645">
        <v>7692.7012357793401</v>
      </c>
      <c r="AE430" s="645">
        <v>143</v>
      </c>
    </row>
    <row r="431" spans="29:31" ht="15.75">
      <c r="AC431" s="644" t="s">
        <v>1065</v>
      </c>
      <c r="AD431" s="645">
        <v>7690.7985649014117</v>
      </c>
      <c r="AE431" s="645">
        <v>136</v>
      </c>
    </row>
    <row r="432" spans="29:31" ht="15.75">
      <c r="AC432" s="644" t="s">
        <v>1051</v>
      </c>
      <c r="AD432" s="645">
        <v>7682.4786421759518</v>
      </c>
      <c r="AE432" s="645">
        <v>155</v>
      </c>
    </row>
    <row r="433" spans="29:31" ht="15.75">
      <c r="AC433" s="644" t="s">
        <v>1155</v>
      </c>
      <c r="AD433" s="645">
        <v>7663.7981969274151</v>
      </c>
      <c r="AE433" s="645">
        <v>142</v>
      </c>
    </row>
    <row r="434" spans="29:31" ht="15.75">
      <c r="AC434" s="644" t="s">
        <v>1144</v>
      </c>
      <c r="AD434" s="645">
        <v>7611.1723038238624</v>
      </c>
      <c r="AE434" s="645">
        <v>156</v>
      </c>
    </row>
    <row r="435" spans="29:31" ht="15.75">
      <c r="AC435" s="644" t="s">
        <v>1157</v>
      </c>
      <c r="AD435" s="645">
        <v>7606.1042592990107</v>
      </c>
      <c r="AE435" s="645">
        <v>122</v>
      </c>
    </row>
    <row r="436" spans="29:31" ht="15.75">
      <c r="AC436" s="644" t="s">
        <v>1063</v>
      </c>
      <c r="AD436" s="645">
        <v>7601.855943291127</v>
      </c>
      <c r="AE436" s="645">
        <v>155</v>
      </c>
    </row>
    <row r="437" spans="29:31" ht="15.75">
      <c r="AC437" s="644" t="s">
        <v>1101</v>
      </c>
      <c r="AD437" s="645">
        <v>7582.531293121956</v>
      </c>
      <c r="AE437" s="645">
        <v>151</v>
      </c>
    </row>
    <row r="438" spans="29:31" ht="15.75">
      <c r="AC438" s="644" t="s">
        <v>1064</v>
      </c>
      <c r="AD438" s="645">
        <v>7578.2932088354519</v>
      </c>
      <c r="AE438" s="645">
        <v>82</v>
      </c>
    </row>
    <row r="439" spans="29:31" ht="15.75">
      <c r="AC439" s="644" t="s">
        <v>1074</v>
      </c>
      <c r="AD439" s="645">
        <v>7556.2186072184249</v>
      </c>
      <c r="AE439" s="645">
        <v>157</v>
      </c>
    </row>
    <row r="440" spans="29:31" ht="15.75">
      <c r="AC440" s="644" t="s">
        <v>1093</v>
      </c>
      <c r="AD440" s="645">
        <v>7549.1223309108273</v>
      </c>
      <c r="AE440" s="645">
        <v>137</v>
      </c>
    </row>
    <row r="441" spans="29:31" ht="15.75">
      <c r="AC441" s="644" t="s">
        <v>1073</v>
      </c>
      <c r="AD441" s="645">
        <v>7544.1527398730505</v>
      </c>
      <c r="AE441" s="645">
        <v>135</v>
      </c>
    </row>
    <row r="442" spans="29:31" ht="15.75">
      <c r="AC442" s="644" t="s">
        <v>987</v>
      </c>
      <c r="AD442" s="645">
        <v>7523.3497899481763</v>
      </c>
      <c r="AE442" s="645">
        <v>75</v>
      </c>
    </row>
    <row r="443" spans="29:31" ht="15.75">
      <c r="AC443" s="644" t="s">
        <v>1060</v>
      </c>
      <c r="AD443" s="645">
        <v>7522.6377602649445</v>
      </c>
      <c r="AE443" s="645">
        <v>144</v>
      </c>
    </row>
    <row r="444" spans="29:31" ht="15.75">
      <c r="AC444" s="644" t="s">
        <v>1058</v>
      </c>
      <c r="AD444" s="645">
        <v>7501.2828493453153</v>
      </c>
      <c r="AE444" s="645">
        <v>158</v>
      </c>
    </row>
    <row r="445" spans="29:31" ht="15.75">
      <c r="AC445" s="644" t="s">
        <v>1071</v>
      </c>
      <c r="AD445" s="645">
        <v>7469.7098525037582</v>
      </c>
      <c r="AE445" s="645">
        <v>135</v>
      </c>
    </row>
    <row r="446" spans="29:31" ht="15.75">
      <c r="AC446" s="644" t="s">
        <v>1075</v>
      </c>
      <c r="AD446" s="645">
        <v>7443.0314311121983</v>
      </c>
      <c r="AE446" s="645">
        <v>133</v>
      </c>
    </row>
    <row r="447" spans="29:31" ht="15.75">
      <c r="AC447" s="644" t="s">
        <v>1047</v>
      </c>
      <c r="AD447" s="645">
        <v>7422.0821195302215</v>
      </c>
      <c r="AE447" s="645">
        <v>105</v>
      </c>
    </row>
    <row r="448" spans="29:31" ht="15.75">
      <c r="AC448" s="644" t="s">
        <v>998</v>
      </c>
      <c r="AD448" s="645">
        <v>7359.4799300849409</v>
      </c>
      <c r="AE448" s="645">
        <v>140</v>
      </c>
    </row>
    <row r="449" spans="29:31" ht="15.75">
      <c r="AC449" s="644" t="s">
        <v>1066</v>
      </c>
      <c r="AD449" s="645">
        <v>7324.1867468032215</v>
      </c>
      <c r="AE449" s="645">
        <v>121</v>
      </c>
    </row>
    <row r="450" spans="29:31" ht="15.75">
      <c r="AC450" s="644" t="s">
        <v>1091</v>
      </c>
      <c r="AD450" s="645">
        <v>7292.2228695838812</v>
      </c>
      <c r="AE450" s="645">
        <v>114</v>
      </c>
    </row>
    <row r="451" spans="29:31" ht="15.75">
      <c r="AC451" s="644" t="s">
        <v>1117</v>
      </c>
      <c r="AD451" s="645">
        <v>7259.2070160375297</v>
      </c>
      <c r="AE451" s="645">
        <v>88</v>
      </c>
    </row>
    <row r="452" spans="29:31" ht="15.75">
      <c r="AC452" s="644" t="s">
        <v>1109</v>
      </c>
      <c r="AD452" s="645">
        <v>7205.1715065468688</v>
      </c>
      <c r="AE452" s="645">
        <v>147</v>
      </c>
    </row>
    <row r="453" spans="29:31" ht="15.75">
      <c r="AC453" s="644" t="s">
        <v>1004</v>
      </c>
      <c r="AD453" s="645">
        <v>7191.999018736009</v>
      </c>
      <c r="AE453" s="645">
        <v>132</v>
      </c>
    </row>
    <row r="454" spans="29:31" ht="15.75">
      <c r="AC454" s="644" t="s">
        <v>1085</v>
      </c>
      <c r="AD454" s="645">
        <v>7190.7249087731134</v>
      </c>
      <c r="AE454" s="645">
        <v>146</v>
      </c>
    </row>
    <row r="455" spans="29:31" ht="15.75">
      <c r="AC455" s="644" t="s">
        <v>1806</v>
      </c>
      <c r="AD455" s="645">
        <v>7157.0942320076047</v>
      </c>
      <c r="AE455" s="645">
        <v>166</v>
      </c>
    </row>
    <row r="456" spans="29:31" ht="15.75">
      <c r="AC456" s="644" t="s">
        <v>1116</v>
      </c>
      <c r="AD456" s="645">
        <v>7128.8569807733593</v>
      </c>
      <c r="AE456" s="645">
        <v>136</v>
      </c>
    </row>
    <row r="457" spans="29:31" ht="15.75">
      <c r="AC457" s="644" t="s">
        <v>1070</v>
      </c>
      <c r="AD457" s="645">
        <v>7116.8313452516004</v>
      </c>
      <c r="AE457" s="645">
        <v>109</v>
      </c>
    </row>
    <row r="458" spans="29:31" ht="15.75">
      <c r="AC458" s="644" t="s">
        <v>1087</v>
      </c>
      <c r="AD458" s="645">
        <v>7097.6847536107434</v>
      </c>
      <c r="AE458" s="645">
        <v>113</v>
      </c>
    </row>
    <row r="459" spans="29:31" ht="15.75">
      <c r="AC459" s="644" t="s">
        <v>1081</v>
      </c>
      <c r="AD459" s="645">
        <v>7076.6333445769851</v>
      </c>
      <c r="AE459" s="645">
        <v>132</v>
      </c>
    </row>
    <row r="460" spans="29:31" ht="15.75">
      <c r="AC460" s="644" t="s">
        <v>1090</v>
      </c>
      <c r="AD460" s="645">
        <v>6976.2003618410981</v>
      </c>
      <c r="AE460" s="645">
        <v>140</v>
      </c>
    </row>
    <row r="461" spans="29:31" ht="15.75">
      <c r="AC461" s="644" t="s">
        <v>1034</v>
      </c>
      <c r="AD461" s="645">
        <v>6956.6432645426366</v>
      </c>
      <c r="AE461" s="645">
        <v>148</v>
      </c>
    </row>
    <row r="462" spans="29:31" ht="15.75">
      <c r="AC462" s="644" t="s">
        <v>1106</v>
      </c>
      <c r="AD462" s="645">
        <v>6942.608018766673</v>
      </c>
      <c r="AE462" s="645">
        <v>79</v>
      </c>
    </row>
    <row r="463" spans="29:31" ht="15.75">
      <c r="AC463" s="644" t="s">
        <v>1048</v>
      </c>
      <c r="AD463" s="645">
        <v>6894.1437960606236</v>
      </c>
      <c r="AE463" s="645">
        <v>138</v>
      </c>
    </row>
    <row r="464" spans="29:31" ht="15.75">
      <c r="AC464" s="644" t="s">
        <v>1020</v>
      </c>
      <c r="AD464" s="645">
        <v>6843.4531906411939</v>
      </c>
      <c r="AE464" s="645">
        <v>120</v>
      </c>
    </row>
    <row r="465" spans="29:31" ht="15.75">
      <c r="AC465" s="644" t="s">
        <v>1139</v>
      </c>
      <c r="AD465" s="645">
        <v>6810.5361687774084</v>
      </c>
      <c r="AE465" s="645">
        <v>132</v>
      </c>
    </row>
    <row r="466" spans="29:31" ht="15.75">
      <c r="AC466" s="644" t="s">
        <v>1177</v>
      </c>
      <c r="AD466" s="645">
        <v>6791.1847229462473</v>
      </c>
      <c r="AE466" s="645">
        <v>132</v>
      </c>
    </row>
    <row r="467" spans="29:31" ht="15.75">
      <c r="AC467" s="644" t="s">
        <v>1121</v>
      </c>
      <c r="AD467" s="645">
        <v>6788.7119683542314</v>
      </c>
      <c r="AE467" s="645">
        <v>105</v>
      </c>
    </row>
    <row r="468" spans="29:31" ht="15.75">
      <c r="AC468" s="644" t="s">
        <v>1104</v>
      </c>
      <c r="AD468" s="645">
        <v>6765.2912616397243</v>
      </c>
      <c r="AE468" s="645">
        <v>131</v>
      </c>
    </row>
    <row r="469" spans="29:31" ht="15.75">
      <c r="AC469" s="644" t="s">
        <v>1077</v>
      </c>
      <c r="AD469" s="645">
        <v>6755.6934776609123</v>
      </c>
      <c r="AE469" s="645">
        <v>132</v>
      </c>
    </row>
    <row r="470" spans="29:31" ht="15.75">
      <c r="AC470" s="644" t="s">
        <v>1108</v>
      </c>
      <c r="AD470" s="645">
        <v>6722.2829106743156</v>
      </c>
      <c r="AE470" s="645">
        <v>132</v>
      </c>
    </row>
    <row r="471" spans="29:31" ht="15.75">
      <c r="AC471" s="644" t="s">
        <v>1088</v>
      </c>
      <c r="AD471" s="645">
        <v>6605.4204102910035</v>
      </c>
      <c r="AE471" s="645">
        <v>140</v>
      </c>
    </row>
    <row r="472" spans="29:31" ht="15.75">
      <c r="AC472" s="644" t="s">
        <v>1114</v>
      </c>
      <c r="AD472" s="645">
        <v>6604.5326423599381</v>
      </c>
      <c r="AE472" s="645">
        <v>96</v>
      </c>
    </row>
    <row r="473" spans="29:31" ht="15.75">
      <c r="AC473" s="644" t="s">
        <v>1141</v>
      </c>
      <c r="AD473" s="645">
        <v>6571.2332239632906</v>
      </c>
      <c r="AE473" s="645">
        <v>91</v>
      </c>
    </row>
    <row r="474" spans="29:31" ht="15.75">
      <c r="AC474" s="644" t="s">
        <v>1097</v>
      </c>
      <c r="AD474" s="645">
        <v>6559.4768636349709</v>
      </c>
      <c r="AE474" s="645">
        <v>141</v>
      </c>
    </row>
    <row r="475" spans="29:31" ht="15.75">
      <c r="AC475" s="644" t="s">
        <v>1125</v>
      </c>
      <c r="AD475" s="645">
        <v>6542.6221826990877</v>
      </c>
      <c r="AE475" s="645">
        <v>123</v>
      </c>
    </row>
    <row r="476" spans="29:31" ht="15.75">
      <c r="AC476" s="644" t="s">
        <v>1180</v>
      </c>
      <c r="AD476" s="645">
        <v>6535.0723171118334</v>
      </c>
      <c r="AE476" s="645">
        <v>95</v>
      </c>
    </row>
    <row r="477" spans="29:31" ht="15.75">
      <c r="AC477" s="644" t="s">
        <v>1094</v>
      </c>
      <c r="AD477" s="645">
        <v>6478.3133503010313</v>
      </c>
      <c r="AE477" s="645">
        <v>115</v>
      </c>
    </row>
    <row r="478" spans="29:31" ht="15.75">
      <c r="AC478" s="644" t="s">
        <v>1059</v>
      </c>
      <c r="AD478" s="645">
        <v>6415.6564553882745</v>
      </c>
      <c r="AE478" s="645">
        <v>122</v>
      </c>
    </row>
    <row r="479" spans="29:31" ht="15.75">
      <c r="AC479" s="644" t="s">
        <v>1143</v>
      </c>
      <c r="AD479" s="645">
        <v>6407.1559903100197</v>
      </c>
      <c r="AE479" s="645">
        <v>75</v>
      </c>
    </row>
    <row r="480" spans="29:31" ht="15.75">
      <c r="AC480" s="644" t="s">
        <v>1098</v>
      </c>
      <c r="AD480" s="645">
        <v>6403.7686670141975</v>
      </c>
      <c r="AE480" s="645">
        <v>108</v>
      </c>
    </row>
    <row r="481" spans="29:31" ht="15.75">
      <c r="AC481" s="644" t="s">
        <v>1146</v>
      </c>
      <c r="AD481" s="645">
        <v>6369.1325626322396</v>
      </c>
      <c r="AE481" s="645">
        <v>105</v>
      </c>
    </row>
    <row r="482" spans="29:31" ht="15.75">
      <c r="AC482" s="644" t="s">
        <v>1046</v>
      </c>
      <c r="AD482" s="645">
        <v>6352.4878108613666</v>
      </c>
      <c r="AE482" s="645">
        <v>111</v>
      </c>
    </row>
    <row r="483" spans="29:31" ht="15.75">
      <c r="AC483" s="644" t="s">
        <v>1190</v>
      </c>
      <c r="AD483" s="645">
        <v>6288.892275612523</v>
      </c>
      <c r="AE483" s="645">
        <v>128</v>
      </c>
    </row>
    <row r="484" spans="29:31" ht="15.75">
      <c r="AC484" s="644" t="s">
        <v>1100</v>
      </c>
      <c r="AD484" s="645">
        <v>6281.1293735242707</v>
      </c>
      <c r="AE484" s="645">
        <v>109</v>
      </c>
    </row>
    <row r="485" spans="29:31" ht="15.75">
      <c r="AC485" s="644" t="s">
        <v>1145</v>
      </c>
      <c r="AD485" s="645">
        <v>6267.8237404556749</v>
      </c>
      <c r="AE485" s="645">
        <v>54</v>
      </c>
    </row>
    <row r="486" spans="29:31" ht="15.75">
      <c r="AC486" s="644" t="s">
        <v>1092</v>
      </c>
      <c r="AD486" s="645">
        <v>6266.4106896445992</v>
      </c>
      <c r="AE486" s="645">
        <v>126</v>
      </c>
    </row>
    <row r="487" spans="29:31" ht="15.75">
      <c r="AC487" s="644" t="s">
        <v>1082</v>
      </c>
      <c r="AD487" s="645">
        <v>6252.1891386342022</v>
      </c>
      <c r="AE487" s="645">
        <v>145</v>
      </c>
    </row>
    <row r="488" spans="29:31" ht="15.75">
      <c r="AC488" s="644" t="s">
        <v>1135</v>
      </c>
      <c r="AD488" s="645">
        <v>6238.7770997516145</v>
      </c>
      <c r="AE488" s="645">
        <v>124</v>
      </c>
    </row>
    <row r="489" spans="29:31" ht="15.75">
      <c r="AC489" s="644" t="s">
        <v>1107</v>
      </c>
      <c r="AD489" s="645">
        <v>6213.4678482720528</v>
      </c>
      <c r="AE489" s="645">
        <v>125</v>
      </c>
    </row>
    <row r="490" spans="29:31" ht="15.75">
      <c r="AC490" s="644" t="s">
        <v>1165</v>
      </c>
      <c r="AD490" s="645">
        <v>6188.4846217533932</v>
      </c>
      <c r="AE490" s="645">
        <v>92</v>
      </c>
    </row>
    <row r="491" spans="29:31" ht="15.75">
      <c r="AC491" s="644" t="s">
        <v>1105</v>
      </c>
      <c r="AD491" s="645">
        <v>6139.2238815123774</v>
      </c>
      <c r="AE491" s="645">
        <v>132</v>
      </c>
    </row>
    <row r="492" spans="29:31" ht="15.75">
      <c r="AC492" s="644" t="s">
        <v>1192</v>
      </c>
      <c r="AD492" s="645">
        <v>6113.1693906963919</v>
      </c>
      <c r="AE492" s="645">
        <v>115</v>
      </c>
    </row>
    <row r="493" spans="29:31" ht="15.75">
      <c r="AC493" s="644" t="s">
        <v>1142</v>
      </c>
      <c r="AD493" s="645">
        <v>6098.8534543558944</v>
      </c>
      <c r="AE493" s="645">
        <v>103</v>
      </c>
    </row>
    <row r="494" spans="29:31" ht="15.75">
      <c r="AC494" s="644" t="s">
        <v>1179</v>
      </c>
      <c r="AD494" s="645">
        <v>6090.6732390911038</v>
      </c>
      <c r="AE494" s="645">
        <v>86</v>
      </c>
    </row>
    <row r="495" spans="29:31" ht="15.75">
      <c r="AC495" s="644" t="s">
        <v>1148</v>
      </c>
      <c r="AD495" s="645">
        <v>6062.1563276195138</v>
      </c>
      <c r="AE495" s="645">
        <v>116</v>
      </c>
    </row>
    <row r="496" spans="29:31" ht="15.75">
      <c r="AC496" s="644" t="s">
        <v>1149</v>
      </c>
      <c r="AD496" s="645">
        <v>6042.1293428597728</v>
      </c>
      <c r="AE496" s="645">
        <v>129</v>
      </c>
    </row>
    <row r="497" spans="29:31" ht="15.75">
      <c r="AC497" s="644" t="s">
        <v>1152</v>
      </c>
      <c r="AD497" s="645">
        <v>6040.5297190109777</v>
      </c>
      <c r="AE497" s="645">
        <v>118</v>
      </c>
    </row>
    <row r="498" spans="29:31" ht="15.75">
      <c r="AC498" s="644" t="s">
        <v>1076</v>
      </c>
      <c r="AD498" s="645">
        <v>6018.754408021834</v>
      </c>
      <c r="AE498" s="645">
        <v>126</v>
      </c>
    </row>
    <row r="499" spans="29:31" ht="15.75">
      <c r="AC499" s="644" t="s">
        <v>1120</v>
      </c>
      <c r="AD499" s="645">
        <v>5933.9654615518402</v>
      </c>
      <c r="AE499" s="645">
        <v>115</v>
      </c>
    </row>
    <row r="500" spans="29:31" ht="15.75">
      <c r="AC500" s="644" t="s">
        <v>1096</v>
      </c>
      <c r="AD500" s="645">
        <v>5874.6553310232739</v>
      </c>
      <c r="AE500" s="645">
        <v>114</v>
      </c>
    </row>
    <row r="501" spans="29:31" ht="15.75">
      <c r="AC501" s="644" t="s">
        <v>1163</v>
      </c>
      <c r="AD501" s="645">
        <v>5873.6726871301116</v>
      </c>
      <c r="AE501" s="645">
        <v>113</v>
      </c>
    </row>
    <row r="502" spans="29:31" ht="15.75">
      <c r="AC502" s="644" t="s">
        <v>1174</v>
      </c>
      <c r="AD502" s="645">
        <v>5823.6185642881255</v>
      </c>
      <c r="AE502" s="645">
        <v>105</v>
      </c>
    </row>
    <row r="503" spans="29:31" ht="15.75">
      <c r="AC503" s="644" t="s">
        <v>1119</v>
      </c>
      <c r="AD503" s="645">
        <v>5806.3122872650338</v>
      </c>
      <c r="AE503" s="645">
        <v>121</v>
      </c>
    </row>
    <row r="504" spans="29:31" ht="15.75">
      <c r="AC504" s="644" t="s">
        <v>1194</v>
      </c>
      <c r="AD504" s="645">
        <v>5786.0042623654608</v>
      </c>
      <c r="AE504" s="645">
        <v>104</v>
      </c>
    </row>
    <row r="505" spans="29:31" ht="15.75">
      <c r="AC505" s="644" t="s">
        <v>1166</v>
      </c>
      <c r="AD505" s="645">
        <v>5779.2312409923015</v>
      </c>
      <c r="AE505" s="645">
        <v>119</v>
      </c>
    </row>
    <row r="506" spans="29:31" ht="15.75">
      <c r="AC506" s="644" t="s">
        <v>1154</v>
      </c>
      <c r="AD506" s="645">
        <v>5709.4851430498902</v>
      </c>
      <c r="AE506" s="645">
        <v>108</v>
      </c>
    </row>
    <row r="507" spans="29:31" ht="15.75">
      <c r="AC507" s="644" t="s">
        <v>1151</v>
      </c>
      <c r="AD507" s="645">
        <v>5692.6211401060973</v>
      </c>
      <c r="AE507" s="645">
        <v>61</v>
      </c>
    </row>
    <row r="508" spans="29:31" ht="15.75">
      <c r="AC508" s="644" t="s">
        <v>1353</v>
      </c>
      <c r="AD508" s="645">
        <v>5685.7026770108241</v>
      </c>
      <c r="AE508" s="645">
        <v>62</v>
      </c>
    </row>
    <row r="509" spans="29:31" ht="15.75">
      <c r="AC509" s="644" t="s">
        <v>1122</v>
      </c>
      <c r="AD509" s="645">
        <v>5679.7586499442841</v>
      </c>
      <c r="AE509" s="645">
        <v>120</v>
      </c>
    </row>
    <row r="510" spans="29:31" ht="15.75">
      <c r="AC510" s="644" t="s">
        <v>1229</v>
      </c>
      <c r="AD510" s="645">
        <v>5644.2631320719984</v>
      </c>
      <c r="AE510" s="645">
        <v>83</v>
      </c>
    </row>
    <row r="511" spans="29:31" ht="15.75">
      <c r="AC511" s="644" t="s">
        <v>1118</v>
      </c>
      <c r="AD511" s="645">
        <v>5616.6750482965863</v>
      </c>
      <c r="AE511" s="645">
        <v>105</v>
      </c>
    </row>
    <row r="512" spans="29:31" ht="15.75">
      <c r="AC512" s="644" t="s">
        <v>1126</v>
      </c>
      <c r="AD512" s="645">
        <v>5574.2336634877802</v>
      </c>
      <c r="AE512" s="645">
        <v>124</v>
      </c>
    </row>
    <row r="513" spans="29:31" ht="15.75">
      <c r="AC513" s="644" t="s">
        <v>1136</v>
      </c>
      <c r="AD513" s="645">
        <v>5564.3998957407002</v>
      </c>
      <c r="AE513" s="645">
        <v>110</v>
      </c>
    </row>
    <row r="514" spans="29:31" ht="15.75">
      <c r="AC514" s="644" t="s">
        <v>1191</v>
      </c>
      <c r="AD514" s="645">
        <v>5561.9643678513394</v>
      </c>
      <c r="AE514" s="645">
        <v>68</v>
      </c>
    </row>
    <row r="515" spans="29:31" ht="15.75">
      <c r="AC515" s="644" t="s">
        <v>1168</v>
      </c>
      <c r="AD515" s="645">
        <v>5549.4401275643186</v>
      </c>
      <c r="AE515" s="645">
        <v>97</v>
      </c>
    </row>
    <row r="516" spans="29:31" ht="15.75">
      <c r="AC516" s="644" t="s">
        <v>1138</v>
      </c>
      <c r="AD516" s="645">
        <v>5542.7785103186034</v>
      </c>
      <c r="AE516" s="645">
        <v>100</v>
      </c>
    </row>
    <row r="517" spans="29:31" ht="15.75">
      <c r="AC517" s="644" t="s">
        <v>1176</v>
      </c>
      <c r="AD517" s="645">
        <v>5516.0185213578243</v>
      </c>
      <c r="AE517" s="645">
        <v>104</v>
      </c>
    </row>
    <row r="518" spans="29:31" ht="15.75">
      <c r="AC518" s="644" t="s">
        <v>1250</v>
      </c>
      <c r="AD518" s="645">
        <v>5508.4899849743942</v>
      </c>
      <c r="AE518" s="645">
        <v>51</v>
      </c>
    </row>
    <row r="519" spans="29:31" ht="15.75">
      <c r="AC519" s="644" t="s">
        <v>1214</v>
      </c>
      <c r="AD519" s="645">
        <v>5486.6250651620612</v>
      </c>
      <c r="AE519" s="645">
        <v>91</v>
      </c>
    </row>
    <row r="520" spans="29:31" ht="15.75">
      <c r="AC520" s="644" t="s">
        <v>1162</v>
      </c>
      <c r="AD520" s="645">
        <v>5474.8939008310081</v>
      </c>
      <c r="AE520" s="645">
        <v>106</v>
      </c>
    </row>
    <row r="521" spans="29:31" ht="15.75">
      <c r="AC521" s="644" t="s">
        <v>1193</v>
      </c>
      <c r="AD521" s="645">
        <v>5471.0660513323737</v>
      </c>
      <c r="AE521" s="645">
        <v>121</v>
      </c>
    </row>
    <row r="522" spans="29:31" ht="15.75">
      <c r="AC522" s="644" t="s">
        <v>1188</v>
      </c>
      <c r="AD522" s="645">
        <v>5451.4692588390435</v>
      </c>
      <c r="AE522" s="645">
        <v>93</v>
      </c>
    </row>
    <row r="523" spans="29:31" ht="15.75">
      <c r="AC523" s="644" t="s">
        <v>1231</v>
      </c>
      <c r="AD523" s="645">
        <v>5428.9680353255017</v>
      </c>
      <c r="AE523" s="645">
        <v>39</v>
      </c>
    </row>
    <row r="524" spans="29:31" ht="15.75">
      <c r="AC524" s="644" t="s">
        <v>1203</v>
      </c>
      <c r="AD524" s="645">
        <v>5401.0169881328393</v>
      </c>
      <c r="AE524" s="645">
        <v>105</v>
      </c>
    </row>
    <row r="525" spans="29:31" ht="15.75">
      <c r="AC525" s="644" t="s">
        <v>1287</v>
      </c>
      <c r="AD525" s="645">
        <v>5381.4893440863516</v>
      </c>
      <c r="AE525" s="645">
        <v>82</v>
      </c>
    </row>
    <row r="526" spans="29:31" ht="15.75">
      <c r="AC526" s="644" t="s">
        <v>1220</v>
      </c>
      <c r="AD526" s="645">
        <v>5371.2650945999812</v>
      </c>
      <c r="AE526" s="645">
        <v>119</v>
      </c>
    </row>
    <row r="527" spans="29:31" ht="15.75">
      <c r="AC527" s="644" t="s">
        <v>1080</v>
      </c>
      <c r="AD527" s="645">
        <v>5367.0638434883958</v>
      </c>
      <c r="AE527" s="645">
        <v>103</v>
      </c>
    </row>
    <row r="528" spans="29:31" ht="15.75">
      <c r="AC528" s="644" t="s">
        <v>1115</v>
      </c>
      <c r="AD528" s="645">
        <v>5351.3452516022198</v>
      </c>
      <c r="AE528" s="645">
        <v>70</v>
      </c>
    </row>
    <row r="529" spans="29:31" ht="15.75">
      <c r="AC529" s="644" t="s">
        <v>1158</v>
      </c>
      <c r="AD529" s="645">
        <v>5278.9945723835517</v>
      </c>
      <c r="AE529" s="645">
        <v>105</v>
      </c>
    </row>
    <row r="530" spans="29:31" ht="15.75">
      <c r="AC530" s="644" t="s">
        <v>1132</v>
      </c>
      <c r="AD530" s="645">
        <v>5257.5586458556918</v>
      </c>
      <c r="AE530" s="645">
        <v>90</v>
      </c>
    </row>
    <row r="531" spans="29:31" ht="15.75">
      <c r="AC531" s="644" t="s">
        <v>1084</v>
      </c>
      <c r="AD531" s="645">
        <v>5254.1604059979763</v>
      </c>
      <c r="AE531" s="645">
        <v>114</v>
      </c>
    </row>
    <row r="532" spans="29:31" ht="15.75">
      <c r="AC532" s="644" t="s">
        <v>1086</v>
      </c>
      <c r="AD532" s="645">
        <v>5249.6786360430524</v>
      </c>
      <c r="AE532" s="645">
        <v>101</v>
      </c>
    </row>
    <row r="533" spans="29:31" ht="15.75">
      <c r="AC533" s="644" t="s">
        <v>1128</v>
      </c>
      <c r="AD533" s="645">
        <v>5239.4039434546621</v>
      </c>
      <c r="AE533" s="645">
        <v>92</v>
      </c>
    </row>
    <row r="534" spans="29:31" ht="15.75">
      <c r="AC534" s="644" t="s">
        <v>1346</v>
      </c>
      <c r="AD534" s="645">
        <v>5189.4452792002685</v>
      </c>
      <c r="AE534" s="645">
        <v>56</v>
      </c>
    </row>
    <row r="535" spans="29:31" ht="15.75">
      <c r="AC535" s="644" t="s">
        <v>1131</v>
      </c>
      <c r="AD535" s="645">
        <v>5173.7143908497128</v>
      </c>
      <c r="AE535" s="645">
        <v>80</v>
      </c>
    </row>
    <row r="536" spans="29:31" ht="15.75">
      <c r="AC536" s="644" t="s">
        <v>1129</v>
      </c>
      <c r="AD536" s="645">
        <v>5166.7771610806167</v>
      </c>
      <c r="AE536" s="645">
        <v>62</v>
      </c>
    </row>
    <row r="537" spans="29:31" ht="15.75">
      <c r="AC537" s="644" t="s">
        <v>1289</v>
      </c>
      <c r="AD537" s="645">
        <v>5153.8847321455951</v>
      </c>
      <c r="AE537" s="645">
        <v>40</v>
      </c>
    </row>
    <row r="538" spans="29:31" ht="15.75">
      <c r="AC538" s="644" t="s">
        <v>1322</v>
      </c>
      <c r="AD538" s="645">
        <v>5140.3882125663113</v>
      </c>
      <c r="AE538" s="645">
        <v>88</v>
      </c>
    </row>
    <row r="539" spans="29:31" ht="15.75">
      <c r="AC539" s="644" t="s">
        <v>1156</v>
      </c>
      <c r="AD539" s="645">
        <v>5127.8930422250151</v>
      </c>
      <c r="AE539" s="645">
        <v>92</v>
      </c>
    </row>
    <row r="540" spans="29:31" ht="15.75">
      <c r="AC540" s="644" t="s">
        <v>1175</v>
      </c>
      <c r="AD540" s="645">
        <v>5122.5046763362061</v>
      </c>
      <c r="AE540" s="645">
        <v>100</v>
      </c>
    </row>
    <row r="541" spans="29:31" ht="15.75">
      <c r="AC541" s="644" t="s">
        <v>1173</v>
      </c>
      <c r="AD541" s="645">
        <v>5078.7813518955882</v>
      </c>
      <c r="AE541" s="645">
        <v>104</v>
      </c>
    </row>
    <row r="542" spans="29:31" ht="15.75">
      <c r="AC542" s="644" t="s">
        <v>1184</v>
      </c>
      <c r="AD542" s="645">
        <v>5074.356352151116</v>
      </c>
      <c r="AE542" s="645">
        <v>105</v>
      </c>
    </row>
    <row r="543" spans="29:31" ht="15.75">
      <c r="AC543" s="644" t="s">
        <v>1182</v>
      </c>
      <c r="AD543" s="645">
        <v>5063.9893747508495</v>
      </c>
      <c r="AE543" s="645">
        <v>61</v>
      </c>
    </row>
    <row r="544" spans="29:31" ht="15.75">
      <c r="AC544" s="644" t="s">
        <v>1247</v>
      </c>
      <c r="AD544" s="645">
        <v>5044.9862009751305</v>
      </c>
      <c r="AE544" s="645">
        <v>91</v>
      </c>
    </row>
    <row r="545" spans="29:31" ht="15.75">
      <c r="AC545" s="644" t="s">
        <v>1130</v>
      </c>
      <c r="AD545" s="645">
        <v>5038.7222102971391</v>
      </c>
      <c r="AE545" s="645">
        <v>84</v>
      </c>
    </row>
    <row r="546" spans="29:31" ht="15.75">
      <c r="AC546" s="644" t="s">
        <v>1277</v>
      </c>
      <c r="AD546" s="645">
        <v>5030.2045322130571</v>
      </c>
      <c r="AE546" s="645">
        <v>66</v>
      </c>
    </row>
    <row r="547" spans="29:31" ht="15.75">
      <c r="AC547" s="644" t="s">
        <v>1189</v>
      </c>
      <c r="AD547" s="645">
        <v>4986.7976296341722</v>
      </c>
      <c r="AE547" s="645">
        <v>57</v>
      </c>
    </row>
    <row r="548" spans="29:31" ht="15.75">
      <c r="AC548" s="644" t="s">
        <v>1339</v>
      </c>
      <c r="AD548" s="645">
        <v>4980.7167826806908</v>
      </c>
      <c r="AE548" s="645">
        <v>68</v>
      </c>
    </row>
    <row r="549" spans="29:31" ht="15.75">
      <c r="AC549" s="644" t="s">
        <v>1281</v>
      </c>
      <c r="AD549" s="645">
        <v>4965.9221581674892</v>
      </c>
      <c r="AE549" s="645">
        <v>99</v>
      </c>
    </row>
    <row r="550" spans="29:31" ht="15.75">
      <c r="AC550" s="644" t="s">
        <v>1102</v>
      </c>
      <c r="AD550" s="645">
        <v>4953.1257346702951</v>
      </c>
      <c r="AE550" s="645">
        <v>94</v>
      </c>
    </row>
    <row r="551" spans="29:31" ht="15.75">
      <c r="AC551" s="644" t="s">
        <v>1103</v>
      </c>
      <c r="AD551" s="645">
        <v>4950.2607095765243</v>
      </c>
      <c r="AE551" s="645">
        <v>64</v>
      </c>
    </row>
    <row r="552" spans="29:31" ht="15.75">
      <c r="AC552" s="644" t="s">
        <v>1178</v>
      </c>
      <c r="AD552" s="645">
        <v>4937.8326331605904</v>
      </c>
      <c r="AE552" s="645">
        <v>103</v>
      </c>
    </row>
    <row r="553" spans="29:31" ht="15.75">
      <c r="AC553" s="644" t="s">
        <v>1111</v>
      </c>
      <c r="AD553" s="645">
        <v>4884.52531354451</v>
      </c>
      <c r="AE553" s="645">
        <v>112</v>
      </c>
    </row>
    <row r="554" spans="29:31" ht="15.75">
      <c r="AC554" s="644" t="s">
        <v>1133</v>
      </c>
      <c r="AD554" s="645">
        <v>4881.669068719144</v>
      </c>
      <c r="AE554" s="645">
        <v>89</v>
      </c>
    </row>
    <row r="555" spans="29:31" ht="15.75">
      <c r="AC555" s="644" t="s">
        <v>1150</v>
      </c>
      <c r="AD555" s="645">
        <v>4868.2214590168951</v>
      </c>
      <c r="AE555" s="645">
        <v>99</v>
      </c>
    </row>
    <row r="556" spans="29:31" ht="15.75">
      <c r="AC556" s="644" t="s">
        <v>1140</v>
      </c>
      <c r="AD556" s="645">
        <v>4842.5377939958889</v>
      </c>
      <c r="AE556" s="645">
        <v>54</v>
      </c>
    </row>
    <row r="557" spans="29:31" ht="15.75">
      <c r="AC557" s="644" t="s">
        <v>1296</v>
      </c>
      <c r="AD557" s="645">
        <v>4825.0590291619392</v>
      </c>
      <c r="AE557" s="645">
        <v>83</v>
      </c>
    </row>
    <row r="558" spans="29:31" ht="15.75">
      <c r="AC558" s="644" t="s">
        <v>1213</v>
      </c>
      <c r="AD558" s="645">
        <v>4803.8931648830148</v>
      </c>
      <c r="AE558" s="645">
        <v>96</v>
      </c>
    </row>
    <row r="559" spans="29:31" ht="15.75">
      <c r="AC559" s="644" t="s">
        <v>1196</v>
      </c>
      <c r="AD559" s="645">
        <v>4768.6718898531171</v>
      </c>
      <c r="AE559" s="645">
        <v>102</v>
      </c>
    </row>
    <row r="560" spans="29:31" ht="15.75">
      <c r="AC560" s="644" t="s">
        <v>1153</v>
      </c>
      <c r="AD560" s="645">
        <v>4762.2512342461132</v>
      </c>
      <c r="AE560" s="645">
        <v>101</v>
      </c>
    </row>
    <row r="561" spans="29:31" ht="15.75">
      <c r="AC561" s="644" t="s">
        <v>1186</v>
      </c>
      <c r="AD561" s="645">
        <v>4742.9240133697222</v>
      </c>
      <c r="AE561" s="645">
        <v>92</v>
      </c>
    </row>
    <row r="562" spans="29:31" ht="15.75">
      <c r="AC562" s="644" t="s">
        <v>1161</v>
      </c>
      <c r="AD562" s="645">
        <v>4710.1923890711723</v>
      </c>
      <c r="AE562" s="645">
        <v>86</v>
      </c>
    </row>
    <row r="563" spans="29:31" ht="15.75">
      <c r="AC563" s="644" t="s">
        <v>1167</v>
      </c>
      <c r="AD563" s="645">
        <v>4703.3209653184504</v>
      </c>
      <c r="AE563" s="645">
        <v>79</v>
      </c>
    </row>
    <row r="564" spans="29:31" ht="15.75">
      <c r="AC564" s="644" t="s">
        <v>1181</v>
      </c>
      <c r="AD564" s="645">
        <v>4694.0198092668115</v>
      </c>
      <c r="AE564" s="645">
        <v>60</v>
      </c>
    </row>
    <row r="565" spans="29:31" ht="15.75">
      <c r="AC565" s="644" t="s">
        <v>1127</v>
      </c>
      <c r="AD565" s="645">
        <v>4678.9733525497522</v>
      </c>
      <c r="AE565" s="645">
        <v>45</v>
      </c>
    </row>
    <row r="566" spans="29:31" ht="15.75">
      <c r="AC566" s="644" t="s">
        <v>1215</v>
      </c>
      <c r="AD566" s="645">
        <v>4661.6172457146367</v>
      </c>
      <c r="AE566" s="645">
        <v>103</v>
      </c>
    </row>
    <row r="567" spans="29:31" ht="15.75">
      <c r="AC567" s="644" t="s">
        <v>1195</v>
      </c>
      <c r="AD567" s="645">
        <v>4656.5055451636872</v>
      </c>
      <c r="AE567" s="645">
        <v>106</v>
      </c>
    </row>
    <row r="568" spans="29:31" ht="15.75">
      <c r="AC568" s="644" t="s">
        <v>1197</v>
      </c>
      <c r="AD568" s="645">
        <v>4651.8108920302975</v>
      </c>
      <c r="AE568" s="645">
        <v>92</v>
      </c>
    </row>
    <row r="569" spans="29:31" ht="15.75">
      <c r="AC569" s="644" t="s">
        <v>1209</v>
      </c>
      <c r="AD569" s="645">
        <v>4651.2532581030928</v>
      </c>
      <c r="AE569" s="645">
        <v>73</v>
      </c>
    </row>
    <row r="570" spans="29:31" ht="15.75">
      <c r="AC570" s="644" t="s">
        <v>1160</v>
      </c>
      <c r="AD570" s="645">
        <v>4583.5302198644622</v>
      </c>
      <c r="AE570" s="645">
        <v>101</v>
      </c>
    </row>
    <row r="571" spans="29:31" ht="15.75">
      <c r="AC571" s="644" t="s">
        <v>1183</v>
      </c>
      <c r="AD571" s="645">
        <v>4582.0030051209724</v>
      </c>
      <c r="AE571" s="645">
        <v>80</v>
      </c>
    </row>
    <row r="572" spans="29:31" ht="15.75">
      <c r="AC572" s="644" t="s">
        <v>1185</v>
      </c>
      <c r="AD572" s="645">
        <v>4530.6211707705979</v>
      </c>
      <c r="AE572" s="645">
        <v>65</v>
      </c>
    </row>
    <row r="573" spans="29:31" ht="15.75">
      <c r="AC573" s="644" t="s">
        <v>1850</v>
      </c>
      <c r="AD573" s="645">
        <v>4517.1874520867204</v>
      </c>
      <c r="AE573" s="645">
        <v>77</v>
      </c>
    </row>
    <row r="574" spans="29:31" ht="15.75">
      <c r="AC574" s="644" t="s">
        <v>1239</v>
      </c>
      <c r="AD574" s="645">
        <v>4511.8342890435724</v>
      </c>
      <c r="AE574" s="645">
        <v>88</v>
      </c>
    </row>
    <row r="575" spans="29:31" ht="15.75">
      <c r="AC575" s="644" t="s">
        <v>1329</v>
      </c>
      <c r="AD575" s="645">
        <v>4507.696237465886</v>
      </c>
      <c r="AE575" s="645">
        <v>45</v>
      </c>
    </row>
    <row r="576" spans="29:31" ht="15.75">
      <c r="AC576" s="644" t="s">
        <v>1248</v>
      </c>
      <c r="AD576" s="645">
        <v>4496.347950078195</v>
      </c>
      <c r="AE576" s="645">
        <v>83</v>
      </c>
    </row>
    <row r="577" spans="29:31" ht="15.75">
      <c r="AC577" s="644" t="s">
        <v>1357</v>
      </c>
      <c r="AD577" s="645">
        <v>4489.2352273772649</v>
      </c>
      <c r="AE577" s="645">
        <v>100</v>
      </c>
    </row>
    <row r="578" spans="29:31" ht="15.75">
      <c r="AC578" s="644" t="s">
        <v>1210</v>
      </c>
      <c r="AD578" s="645">
        <v>4473.4378031952419</v>
      </c>
      <c r="AE578" s="645">
        <v>65</v>
      </c>
    </row>
    <row r="579" spans="29:31" ht="15.75">
      <c r="AC579" s="644" t="s">
        <v>1216</v>
      </c>
      <c r="AD579" s="645">
        <v>4464.5996749563028</v>
      </c>
      <c r="AE579" s="645">
        <v>82</v>
      </c>
    </row>
    <row r="580" spans="29:31" ht="15.75">
      <c r="AC580" s="644" t="s">
        <v>1134</v>
      </c>
      <c r="AD580" s="645">
        <v>4435.8743982091937</v>
      </c>
      <c r="AE580" s="645">
        <v>53</v>
      </c>
    </row>
    <row r="581" spans="29:31" ht="15.75">
      <c r="AC581" s="644" t="s">
        <v>1254</v>
      </c>
      <c r="AD581" s="645">
        <v>4416.5896476648977</v>
      </c>
      <c r="AE581" s="645">
        <v>96</v>
      </c>
    </row>
    <row r="582" spans="29:31" ht="15.75">
      <c r="AC582" s="644" t="s">
        <v>1226</v>
      </c>
      <c r="AD582" s="645">
        <v>4405.8198153997091</v>
      </c>
      <c r="AE582" s="645">
        <v>75</v>
      </c>
    </row>
    <row r="583" spans="29:31" ht="15.75">
      <c r="AC583" s="644" t="s">
        <v>1204</v>
      </c>
      <c r="AD583" s="645">
        <v>4384.1315813682486</v>
      </c>
      <c r="AE583" s="645">
        <v>74</v>
      </c>
    </row>
    <row r="584" spans="29:31" ht="15.75">
      <c r="AC584" s="644" t="s">
        <v>1219</v>
      </c>
      <c r="AD584" s="645">
        <v>4369.9973321885254</v>
      </c>
      <c r="AE584" s="645">
        <v>73</v>
      </c>
    </row>
    <row r="585" spans="29:31" ht="15.75">
      <c r="AC585" s="644" t="s">
        <v>1187</v>
      </c>
      <c r="AD585" s="645">
        <v>4368.3849008003435</v>
      </c>
      <c r="AE585" s="645">
        <v>39</v>
      </c>
    </row>
    <row r="586" spans="29:31" ht="15.75">
      <c r="AC586" s="644" t="s">
        <v>1255</v>
      </c>
      <c r="AD586" s="645">
        <v>4350.6451810738681</v>
      </c>
      <c r="AE586" s="645">
        <v>84</v>
      </c>
    </row>
    <row r="587" spans="29:31" ht="15.75">
      <c r="AC587" s="644" t="s">
        <v>1137</v>
      </c>
      <c r="AD587" s="645">
        <v>4335.9602588083781</v>
      </c>
      <c r="AE587" s="645">
        <v>41</v>
      </c>
    </row>
    <row r="588" spans="29:31" ht="15.75">
      <c r="AC588" s="644" t="s">
        <v>1232</v>
      </c>
      <c r="AD588" s="645">
        <v>4329.7108337677491</v>
      </c>
      <c r="AE588" s="645">
        <v>62</v>
      </c>
    </row>
    <row r="589" spans="29:31" ht="15.75">
      <c r="AC589" s="644" t="s">
        <v>1252</v>
      </c>
      <c r="AD589" s="645">
        <v>4315.3129312195269</v>
      </c>
      <c r="AE589" s="645">
        <v>85</v>
      </c>
    </row>
    <row r="590" spans="29:31" ht="15.75">
      <c r="AC590" s="644" t="s">
        <v>1305</v>
      </c>
      <c r="AD590" s="645">
        <v>4314.4951090122968</v>
      </c>
      <c r="AE590" s="645">
        <v>74</v>
      </c>
    </row>
    <row r="591" spans="29:31" ht="15.75">
      <c r="AC591" s="644" t="s">
        <v>1218</v>
      </c>
      <c r="AD591" s="645">
        <v>4309.3657661525276</v>
      </c>
      <c r="AE591" s="645">
        <v>84</v>
      </c>
    </row>
    <row r="592" spans="29:31" ht="15.75">
      <c r="AC592" s="644" t="s">
        <v>1413</v>
      </c>
      <c r="AD592" s="645">
        <v>4303.6000122657997</v>
      </c>
      <c r="AE592" s="645">
        <v>42</v>
      </c>
    </row>
    <row r="593" spans="29:31" ht="15.75">
      <c r="AC593" s="644" t="s">
        <v>1212</v>
      </c>
      <c r="AD593" s="645">
        <v>4298.8510216389268</v>
      </c>
      <c r="AE593" s="645">
        <v>73</v>
      </c>
    </row>
    <row r="594" spans="29:31" ht="15.75">
      <c r="AC594" s="644" t="s">
        <v>1217</v>
      </c>
      <c r="AD594" s="645">
        <v>4296.9930084940661</v>
      </c>
      <c r="AE594" s="645">
        <v>90</v>
      </c>
    </row>
    <row r="595" spans="29:31" ht="15.75">
      <c r="AC595" s="644" t="s">
        <v>1211</v>
      </c>
      <c r="AD595" s="645">
        <v>4280.0190733188174</v>
      </c>
      <c r="AE595" s="645">
        <v>83</v>
      </c>
    </row>
    <row r="596" spans="29:31" ht="15.75">
      <c r="AC596" s="644" t="s">
        <v>1206</v>
      </c>
      <c r="AD596" s="645">
        <v>4265.6839471344019</v>
      </c>
      <c r="AE596" s="645">
        <v>57</v>
      </c>
    </row>
    <row r="597" spans="29:31" ht="15.75">
      <c r="AC597" s="644" t="s">
        <v>1246</v>
      </c>
      <c r="AD597" s="645">
        <v>4244.4428873692923</v>
      </c>
      <c r="AE597" s="645">
        <v>65</v>
      </c>
    </row>
    <row r="598" spans="29:31" ht="15.75">
      <c r="AC598" s="644" t="s">
        <v>1851</v>
      </c>
      <c r="AD598" s="645">
        <v>4233.5408297813619</v>
      </c>
      <c r="AE598" s="645">
        <v>54</v>
      </c>
    </row>
    <row r="599" spans="29:31" ht="15.75">
      <c r="AC599" s="644" t="s">
        <v>1306</v>
      </c>
      <c r="AD599" s="645">
        <v>4198.081880347122</v>
      </c>
      <c r="AE599" s="645">
        <v>46</v>
      </c>
    </row>
    <row r="600" spans="29:31" ht="15.75">
      <c r="AC600" s="644" t="s">
        <v>1237</v>
      </c>
      <c r="AD600" s="645">
        <v>4118.2450706816708</v>
      </c>
      <c r="AE600" s="645">
        <v>88</v>
      </c>
    </row>
    <row r="601" spans="29:31" ht="15.75">
      <c r="AC601" s="644" t="s">
        <v>1235</v>
      </c>
      <c r="AD601" s="645">
        <v>4105.4631872680975</v>
      </c>
      <c r="AE601" s="645">
        <v>84</v>
      </c>
    </row>
    <row r="602" spans="29:31" ht="15.75">
      <c r="AC602" s="644" t="s">
        <v>1164</v>
      </c>
      <c r="AD602" s="645">
        <v>4098.8379381190398</v>
      </c>
      <c r="AE602" s="645">
        <v>75</v>
      </c>
    </row>
    <row r="603" spans="29:31" ht="15.75">
      <c r="AC603" s="644" t="s">
        <v>1208</v>
      </c>
      <c r="AD603" s="645">
        <v>4094.7429292774505</v>
      </c>
      <c r="AE603" s="645">
        <v>71</v>
      </c>
    </row>
    <row r="604" spans="29:31" ht="15.75">
      <c r="AC604" s="644" t="s">
        <v>1159</v>
      </c>
      <c r="AD604" s="645">
        <v>4093.802888595872</v>
      </c>
      <c r="AE604" s="645">
        <v>81</v>
      </c>
    </row>
    <row r="605" spans="29:31" ht="15.75">
      <c r="AC605" s="644" t="s">
        <v>1198</v>
      </c>
      <c r="AD605" s="645">
        <v>4073.077059887768</v>
      </c>
      <c r="AE605" s="645">
        <v>72</v>
      </c>
    </row>
    <row r="606" spans="29:31" ht="15.75">
      <c r="AC606" s="644" t="s">
        <v>1259</v>
      </c>
      <c r="AD606" s="645">
        <v>4049.4889761123532</v>
      </c>
      <c r="AE606" s="645">
        <v>76</v>
      </c>
    </row>
    <row r="607" spans="29:31" ht="15.75">
      <c r="AC607" s="644" t="s">
        <v>1236</v>
      </c>
      <c r="AD607" s="645">
        <v>4044.1753396093332</v>
      </c>
      <c r="AE607" s="645">
        <v>75</v>
      </c>
    </row>
    <row r="608" spans="29:31" ht="15.75">
      <c r="AC608" s="644" t="s">
        <v>1233</v>
      </c>
      <c r="AD608" s="645">
        <v>4032.0013492379871</v>
      </c>
      <c r="AE608" s="645">
        <v>85</v>
      </c>
    </row>
    <row r="609" spans="29:31" ht="15.75">
      <c r="AC609" s="644" t="s">
        <v>1334</v>
      </c>
      <c r="AD609" s="645">
        <v>4025.0754653337831</v>
      </c>
      <c r="AE609" s="645">
        <v>67</v>
      </c>
    </row>
    <row r="610" spans="29:31" ht="15.75">
      <c r="AC610" s="644" t="s">
        <v>1275</v>
      </c>
      <c r="AD610" s="645">
        <v>4013.6724418141112</v>
      </c>
      <c r="AE610" s="645">
        <v>81</v>
      </c>
    </row>
    <row r="611" spans="29:31" ht="15.75">
      <c r="AC611" s="644" t="s">
        <v>1852</v>
      </c>
      <c r="AD611" s="645">
        <v>4011.4268191714459</v>
      </c>
      <c r="AE611" s="645">
        <v>75</v>
      </c>
    </row>
    <row r="612" spans="29:31" ht="15.75">
      <c r="AC612" s="644" t="s">
        <v>1222</v>
      </c>
      <c r="AD612" s="645">
        <v>3976.9967802275291</v>
      </c>
      <c r="AE612" s="645">
        <v>76</v>
      </c>
    </row>
    <row r="613" spans="29:31" ht="15.75">
      <c r="AC613" s="644" t="s">
        <v>1241</v>
      </c>
      <c r="AD613" s="645">
        <v>3973.806690993837</v>
      </c>
      <c r="AE613" s="645">
        <v>73</v>
      </c>
    </row>
    <row r="614" spans="29:31" ht="15.75">
      <c r="AC614" s="644" t="s">
        <v>1439</v>
      </c>
      <c r="AD614" s="645">
        <v>3948.8287694336259</v>
      </c>
      <c r="AE614" s="645">
        <v>71</v>
      </c>
    </row>
    <row r="615" spans="29:31" ht="15.75">
      <c r="AC615" s="644" t="s">
        <v>1169</v>
      </c>
      <c r="AD615" s="645">
        <v>3947.6510226610653</v>
      </c>
      <c r="AE615" s="645">
        <v>54</v>
      </c>
    </row>
    <row r="616" spans="29:31" ht="15.75">
      <c r="AC616" s="644" t="s">
        <v>1201</v>
      </c>
      <c r="AD616" s="645">
        <v>3936.9490356014835</v>
      </c>
      <c r="AE616" s="645">
        <v>91</v>
      </c>
    </row>
    <row r="617" spans="29:31" ht="15.75">
      <c r="AC617" s="644" t="s">
        <v>1324</v>
      </c>
      <c r="AD617" s="645">
        <v>3933.1911011621846</v>
      </c>
      <c r="AE617" s="645">
        <v>42</v>
      </c>
    </row>
    <row r="618" spans="29:31" ht="15.75">
      <c r="AC618" s="644" t="s">
        <v>1170</v>
      </c>
      <c r="AD618" s="645">
        <v>3930.2384287510354</v>
      </c>
      <c r="AE618" s="645">
        <v>43</v>
      </c>
    </row>
    <row r="619" spans="29:31" ht="15.75">
      <c r="AC619" s="644" t="s">
        <v>1273</v>
      </c>
      <c r="AD619" s="645">
        <v>3925.6317806874986</v>
      </c>
      <c r="AE619" s="645">
        <v>82</v>
      </c>
    </row>
    <row r="620" spans="29:31" ht="15.75">
      <c r="AC620" s="644" t="s">
        <v>1249</v>
      </c>
      <c r="AD620" s="645">
        <v>3908.2166293581909</v>
      </c>
      <c r="AE620" s="645">
        <v>47</v>
      </c>
    </row>
    <row r="621" spans="29:31" ht="15.75">
      <c r="AC621" s="644" t="s">
        <v>1171</v>
      </c>
      <c r="AD621" s="645">
        <v>3904.5608843641721</v>
      </c>
      <c r="AE621" s="645">
        <v>77</v>
      </c>
    </row>
    <row r="622" spans="29:31" ht="15.75">
      <c r="AC622" s="644" t="s">
        <v>1495</v>
      </c>
      <c r="AD622" s="645">
        <v>3900.5243629450188</v>
      </c>
      <c r="AE622" s="645">
        <v>64</v>
      </c>
    </row>
    <row r="623" spans="29:31" ht="15.75">
      <c r="AC623" s="644" t="s">
        <v>1172</v>
      </c>
      <c r="AD623" s="645">
        <v>3899.8037472018646</v>
      </c>
      <c r="AE623" s="645">
        <v>61</v>
      </c>
    </row>
    <row r="624" spans="29:31" ht="15.75">
      <c r="AC624" s="644" t="s">
        <v>1274</v>
      </c>
      <c r="AD624" s="645">
        <v>3898.1766275183204</v>
      </c>
      <c r="AE624" s="645">
        <v>76</v>
      </c>
    </row>
    <row r="625" spans="29:31" ht="15.75">
      <c r="AC625" s="644" t="s">
        <v>1238</v>
      </c>
      <c r="AD625" s="645">
        <v>3872.449480236729</v>
      </c>
      <c r="AE625" s="645">
        <v>64</v>
      </c>
    </row>
    <row r="626" spans="29:31" ht="15.75">
      <c r="AC626" s="644" t="s">
        <v>1300</v>
      </c>
      <c r="AD626" s="645">
        <v>3833.0639968108926</v>
      </c>
      <c r="AE626" s="645">
        <v>71</v>
      </c>
    </row>
    <row r="627" spans="29:31" ht="15.75">
      <c r="AC627" s="644" t="s">
        <v>1414</v>
      </c>
      <c r="AD627" s="645">
        <v>3832.7136549017205</v>
      </c>
      <c r="AE627" s="645">
        <v>77</v>
      </c>
    </row>
    <row r="628" spans="29:31" ht="15.75">
      <c r="AC628" s="644" t="s">
        <v>1316</v>
      </c>
      <c r="AD628" s="645">
        <v>3815.8855600870861</v>
      </c>
      <c r="AE628" s="645">
        <v>84</v>
      </c>
    </row>
    <row r="629" spans="29:31" ht="15.75">
      <c r="AC629" s="644" t="s">
        <v>1245</v>
      </c>
      <c r="AD629" s="645">
        <v>3814.2182331115291</v>
      </c>
      <c r="AE629" s="645">
        <v>62</v>
      </c>
    </row>
    <row r="630" spans="29:31" ht="15.75">
      <c r="AC630" s="644" t="s">
        <v>1325</v>
      </c>
      <c r="AD630" s="645">
        <v>3808.598571034313</v>
      </c>
      <c r="AE630" s="645">
        <v>47</v>
      </c>
    </row>
    <row r="631" spans="29:31" ht="15.75">
      <c r="AC631" s="644" t="s">
        <v>1286</v>
      </c>
      <c r="AD631" s="645">
        <v>3730.6209561190994</v>
      </c>
      <c r="AE631" s="645">
        <v>80</v>
      </c>
    </row>
    <row r="632" spans="29:31" ht="15.75">
      <c r="AC632" s="644" t="s">
        <v>1506</v>
      </c>
      <c r="AD632" s="645">
        <v>3729.2968630216792</v>
      </c>
      <c r="AE632" s="645">
        <v>68</v>
      </c>
    </row>
    <row r="633" spans="29:31" ht="15.75">
      <c r="AC633" s="644" t="s">
        <v>1199</v>
      </c>
      <c r="AD633" s="645">
        <v>3705.0501180583237</v>
      </c>
      <c r="AE633" s="645">
        <v>36</v>
      </c>
    </row>
    <row r="634" spans="29:31" ht="15.75">
      <c r="AC634" s="644" t="s">
        <v>1416</v>
      </c>
      <c r="AD634" s="645">
        <v>3676.0602250774277</v>
      </c>
      <c r="AE634" s="645">
        <v>62</v>
      </c>
    </row>
    <row r="635" spans="29:31" ht="15.75">
      <c r="AC635" s="644" t="s">
        <v>1427</v>
      </c>
      <c r="AD635" s="645">
        <v>3658.2748152463892</v>
      </c>
      <c r="AE635" s="645">
        <v>70</v>
      </c>
    </row>
    <row r="636" spans="29:31" ht="15.75">
      <c r="AC636" s="644" t="s">
        <v>1292</v>
      </c>
      <c r="AD636" s="645">
        <v>3630.3847168133452</v>
      </c>
      <c r="AE636" s="645">
        <v>67</v>
      </c>
    </row>
    <row r="637" spans="29:31" ht="15.75">
      <c r="AC637" s="644" t="s">
        <v>1280</v>
      </c>
      <c r="AD637" s="645">
        <v>3614.6551777007753</v>
      </c>
      <c r="AE637" s="645">
        <v>80</v>
      </c>
    </row>
    <row r="638" spans="29:31" ht="15.75">
      <c r="AC638" s="644" t="s">
        <v>1293</v>
      </c>
      <c r="AD638" s="645">
        <v>3583.1467909601038</v>
      </c>
      <c r="AE638" s="645">
        <v>64</v>
      </c>
    </row>
    <row r="639" spans="29:31" ht="15.75">
      <c r="AC639" s="644" t="s">
        <v>1207</v>
      </c>
      <c r="AD639" s="645">
        <v>3562.5872251694218</v>
      </c>
      <c r="AE639" s="645">
        <v>76</v>
      </c>
    </row>
    <row r="640" spans="29:31" ht="15.75">
      <c r="AC640" s="644" t="s">
        <v>1263</v>
      </c>
      <c r="AD640" s="645">
        <v>3560.1316273649991</v>
      </c>
      <c r="AE640" s="645">
        <v>73</v>
      </c>
    </row>
    <row r="641" spans="29:31" ht="15.75">
      <c r="AC641" s="644" t="s">
        <v>1345</v>
      </c>
      <c r="AD641" s="645">
        <v>3551.6879273864633</v>
      </c>
      <c r="AE641" s="645">
        <v>66</v>
      </c>
    </row>
    <row r="642" spans="29:31" ht="15.75">
      <c r="AC642" s="644" t="s">
        <v>1265</v>
      </c>
      <c r="AD642" s="645">
        <v>3525.351875134158</v>
      </c>
      <c r="AE642" s="645">
        <v>71</v>
      </c>
    </row>
    <row r="643" spans="29:31" ht="15.75">
      <c r="AC643" s="644" t="s">
        <v>1295</v>
      </c>
      <c r="AD643" s="645">
        <v>3517.8125785777788</v>
      </c>
      <c r="AE643" s="645">
        <v>47</v>
      </c>
    </row>
    <row r="644" spans="29:31" ht="15.75">
      <c r="AC644" s="644" t="s">
        <v>1310</v>
      </c>
      <c r="AD644" s="645">
        <v>3515.0179264665303</v>
      </c>
      <c r="AE644" s="645">
        <v>42</v>
      </c>
    </row>
    <row r="645" spans="29:31" ht="15.75">
      <c r="AC645" s="644" t="s">
        <v>1234</v>
      </c>
      <c r="AD645" s="645">
        <v>3509.8457269019655</v>
      </c>
      <c r="AE645" s="645">
        <v>65</v>
      </c>
    </row>
    <row r="646" spans="29:31" ht="15.75">
      <c r="AC646" s="644" t="s">
        <v>1276</v>
      </c>
      <c r="AD646" s="645">
        <v>3491.94328600779</v>
      </c>
      <c r="AE646" s="645">
        <v>62</v>
      </c>
    </row>
    <row r="647" spans="29:31" ht="15.75">
      <c r="AC647" s="644" t="s">
        <v>1200</v>
      </c>
      <c r="AD647" s="645">
        <v>3479.9840851246513</v>
      </c>
      <c r="AE647" s="645">
        <v>56</v>
      </c>
    </row>
    <row r="648" spans="29:31" ht="15.75">
      <c r="AC648" s="644" t="s">
        <v>1264</v>
      </c>
      <c r="AD648" s="645">
        <v>3474.9678022753055</v>
      </c>
      <c r="AE648" s="645">
        <v>72</v>
      </c>
    </row>
    <row r="649" spans="29:31" ht="15.75">
      <c r="AC649" s="644" t="s">
        <v>1251</v>
      </c>
      <c r="AD649" s="645">
        <v>3449.9640305418407</v>
      </c>
      <c r="AE649" s="645">
        <v>66</v>
      </c>
    </row>
    <row r="650" spans="29:31" ht="15.75">
      <c r="AC650" s="644" t="s">
        <v>1342</v>
      </c>
      <c r="AD650" s="645">
        <v>3447.0155775658518</v>
      </c>
      <c r="AE650" s="645">
        <v>39</v>
      </c>
    </row>
    <row r="651" spans="29:31" ht="15.75">
      <c r="AC651" s="644" t="s">
        <v>1261</v>
      </c>
      <c r="AD651" s="645">
        <v>3443.5190579865703</v>
      </c>
      <c r="AE651" s="645">
        <v>38</v>
      </c>
    </row>
    <row r="652" spans="29:31" ht="15.75">
      <c r="AC652" s="644" t="s">
        <v>1282</v>
      </c>
      <c r="AD652" s="645">
        <v>3434.7060807702928</v>
      </c>
      <c r="AE652" s="645">
        <v>77</v>
      </c>
    </row>
    <row r="653" spans="29:31" ht="15.75">
      <c r="AC653" s="644" t="s">
        <v>1284</v>
      </c>
      <c r="AD653" s="645">
        <v>3433.5654840391271</v>
      </c>
      <c r="AE653" s="645">
        <v>71</v>
      </c>
    </row>
    <row r="654" spans="29:31" ht="15.75">
      <c r="AC654" s="644" t="s">
        <v>1463</v>
      </c>
      <c r="AD654" s="645">
        <v>3427.7130722762258</v>
      </c>
      <c r="AE654" s="645">
        <v>40</v>
      </c>
    </row>
    <row r="655" spans="29:31" ht="15.75">
      <c r="AC655" s="644" t="s">
        <v>1266</v>
      </c>
      <c r="AD655" s="645">
        <v>3426.1445524516221</v>
      </c>
      <c r="AE655" s="645">
        <v>75</v>
      </c>
    </row>
    <row r="656" spans="29:31" ht="15.75">
      <c r="AC656" s="644" t="s">
        <v>1269</v>
      </c>
      <c r="AD656" s="645">
        <v>3408.126174194811</v>
      </c>
      <c r="AE656" s="645">
        <v>69</v>
      </c>
    </row>
    <row r="657" spans="29:31" ht="15.75">
      <c r="AC657" s="644" t="s">
        <v>1270</v>
      </c>
      <c r="AD657" s="645">
        <v>3393.6624145227079</v>
      </c>
      <c r="AE657" s="645">
        <v>79</v>
      </c>
    </row>
    <row r="658" spans="29:31" ht="15.75">
      <c r="AC658" s="644" t="s">
        <v>1285</v>
      </c>
      <c r="AD658" s="645">
        <v>3390.7563398853149</v>
      </c>
      <c r="AE658" s="645">
        <v>79</v>
      </c>
    </row>
    <row r="659" spans="29:31" ht="15.75">
      <c r="AC659" s="644" t="s">
        <v>1202</v>
      </c>
      <c r="AD659" s="645">
        <v>3365.7210757106504</v>
      </c>
      <c r="AE659" s="645">
        <v>63</v>
      </c>
    </row>
    <row r="660" spans="29:31" ht="15.75">
      <c r="AC660" s="644" t="s">
        <v>1352</v>
      </c>
      <c r="AD660" s="645">
        <v>3346.9721872987648</v>
      </c>
      <c r="AE660" s="645">
        <v>70</v>
      </c>
    </row>
    <row r="661" spans="29:31" ht="15.75">
      <c r="AC661" s="644" t="s">
        <v>1205</v>
      </c>
      <c r="AD661" s="645">
        <v>3324.6318726809973</v>
      </c>
      <c r="AE661" s="645">
        <v>47</v>
      </c>
    </row>
    <row r="662" spans="29:31" ht="15.75">
      <c r="AC662" s="644" t="s">
        <v>1319</v>
      </c>
      <c r="AD662" s="645">
        <v>3322.0372267026451</v>
      </c>
      <c r="AE662" s="645">
        <v>49</v>
      </c>
    </row>
    <row r="663" spans="29:31" ht="15.75">
      <c r="AC663" s="644" t="s">
        <v>1307</v>
      </c>
      <c r="AD663" s="645">
        <v>3321.6790336594081</v>
      </c>
      <c r="AE663" s="645">
        <v>0</v>
      </c>
    </row>
    <row r="664" spans="29:31" ht="15.75">
      <c r="AC664" s="644" t="s">
        <v>1376</v>
      </c>
      <c r="AD664" s="645">
        <v>3304.7637913587437</v>
      </c>
      <c r="AE664" s="645">
        <v>61</v>
      </c>
    </row>
    <row r="665" spans="29:31" ht="15.75">
      <c r="AC665" s="644" t="s">
        <v>1311</v>
      </c>
      <c r="AD665" s="645">
        <v>3296.367360706508</v>
      </c>
      <c r="AE665" s="645">
        <v>70</v>
      </c>
    </row>
    <row r="666" spans="29:31" ht="15.75">
      <c r="AC666" s="644" t="s">
        <v>1257</v>
      </c>
      <c r="AD666" s="645">
        <v>3278.8883505565595</v>
      </c>
      <c r="AE666" s="645">
        <v>64</v>
      </c>
    </row>
    <row r="667" spans="29:31" ht="15.75">
      <c r="AC667" s="644" t="s">
        <v>1258</v>
      </c>
      <c r="AD667" s="645">
        <v>3259.3876299408184</v>
      </c>
      <c r="AE667" s="645">
        <v>67</v>
      </c>
    </row>
    <row r="668" spans="29:31" ht="15.75">
      <c r="AC668" s="644" t="s">
        <v>1271</v>
      </c>
      <c r="AD668" s="645">
        <v>3245.5072521541815</v>
      </c>
      <c r="AE668" s="645">
        <v>61</v>
      </c>
    </row>
    <row r="669" spans="29:31" ht="15.75">
      <c r="AC669" s="644" t="s">
        <v>1267</v>
      </c>
      <c r="AD669" s="645">
        <v>3235.3282941338821</v>
      </c>
      <c r="AE669" s="645">
        <v>66</v>
      </c>
    </row>
    <row r="670" spans="29:31" ht="15.75">
      <c r="AC670" s="644" t="s">
        <v>1383</v>
      </c>
      <c r="AD670" s="645">
        <v>3213.1555610070227</v>
      </c>
      <c r="AE670" s="645">
        <v>65</v>
      </c>
    </row>
    <row r="671" spans="29:31" ht="15.75">
      <c r="AC671" s="644" t="s">
        <v>1340</v>
      </c>
      <c r="AD671" s="645">
        <v>3208.1466989666064</v>
      </c>
      <c r="AE671" s="645">
        <v>75</v>
      </c>
    </row>
    <row r="672" spans="29:31" ht="15.75">
      <c r="AC672" s="644" t="s">
        <v>1347</v>
      </c>
      <c r="AD672" s="645">
        <v>3190.9478396859954</v>
      </c>
      <c r="AE672" s="645">
        <v>45</v>
      </c>
    </row>
    <row r="673" spans="29:31" ht="15.75">
      <c r="AC673" s="644" t="s">
        <v>1315</v>
      </c>
      <c r="AD673" s="645">
        <v>3190.7718254576675</v>
      </c>
      <c r="AE673" s="645">
        <v>29</v>
      </c>
    </row>
    <row r="674" spans="29:31" ht="15.75">
      <c r="AC674" s="644" t="s">
        <v>1361</v>
      </c>
      <c r="AD674" s="645">
        <v>3178.9474410474986</v>
      </c>
      <c r="AE674" s="645">
        <v>55</v>
      </c>
    </row>
    <row r="675" spans="29:31" ht="15.75">
      <c r="AC675" s="644" t="s">
        <v>1302</v>
      </c>
      <c r="AD675" s="645">
        <v>3178.8716997332176</v>
      </c>
      <c r="AE675" s="645">
        <v>47</v>
      </c>
    </row>
    <row r="676" spans="29:31" ht="15.75">
      <c r="AC676" s="644" t="s">
        <v>1337</v>
      </c>
      <c r="AD676" s="645">
        <v>3160.42730980344</v>
      </c>
      <c r="AE676" s="645">
        <v>68</v>
      </c>
    </row>
    <row r="677" spans="29:31" ht="15.75">
      <c r="AC677" s="644" t="s">
        <v>1314</v>
      </c>
      <c r="AD677" s="645">
        <v>3154.159741600472</v>
      </c>
      <c r="AE677" s="645">
        <v>56</v>
      </c>
    </row>
    <row r="678" spans="29:31" ht="15.75">
      <c r="AC678" s="644" t="s">
        <v>1256</v>
      </c>
      <c r="AD678" s="645">
        <v>3152.5193339670664</v>
      </c>
      <c r="AE678" s="645">
        <v>28</v>
      </c>
    </row>
    <row r="679" spans="29:31" ht="15.75">
      <c r="AC679" s="644" t="s">
        <v>1221</v>
      </c>
      <c r="AD679" s="645">
        <v>3145.6231639630796</v>
      </c>
      <c r="AE679" s="645">
        <v>58</v>
      </c>
    </row>
    <row r="680" spans="29:31" ht="15.75">
      <c r="AC680" s="644" t="s">
        <v>1223</v>
      </c>
      <c r="AD680" s="645">
        <v>3134.647511575849</v>
      </c>
      <c r="AE680" s="645">
        <v>58</v>
      </c>
    </row>
    <row r="681" spans="29:31" ht="15.75">
      <c r="AC681" s="644" t="s">
        <v>1297</v>
      </c>
      <c r="AD681" s="645">
        <v>3133.0143203213643</v>
      </c>
      <c r="AE681" s="645">
        <v>55</v>
      </c>
    </row>
    <row r="682" spans="29:31" ht="15.75">
      <c r="AC682" s="644" t="s">
        <v>1225</v>
      </c>
      <c r="AD682" s="645">
        <v>3121.8263009413999</v>
      </c>
      <c r="AE682" s="645">
        <v>45</v>
      </c>
    </row>
    <row r="683" spans="29:31" ht="15.75">
      <c r="AC683" s="644" t="s">
        <v>1243</v>
      </c>
      <c r="AD683" s="645">
        <v>3109.422832786483</v>
      </c>
      <c r="AE683" s="645">
        <v>48</v>
      </c>
    </row>
    <row r="684" spans="29:31" ht="15.75">
      <c r="AC684" s="644" t="s">
        <v>1227</v>
      </c>
      <c r="AD684" s="645">
        <v>3106.0071754929318</v>
      </c>
      <c r="AE684" s="645">
        <v>47</v>
      </c>
    </row>
    <row r="685" spans="29:31" ht="15.75">
      <c r="AC685" s="644" t="s">
        <v>1228</v>
      </c>
      <c r="AD685" s="645">
        <v>3099.9434239980374</v>
      </c>
      <c r="AE685" s="645">
        <v>40</v>
      </c>
    </row>
    <row r="686" spans="29:31" ht="15.75">
      <c r="AC686" s="644" t="s">
        <v>1372</v>
      </c>
      <c r="AD686" s="645">
        <v>3095.7630860752492</v>
      </c>
      <c r="AE686" s="645">
        <v>59</v>
      </c>
    </row>
    <row r="687" spans="29:31" ht="15.75">
      <c r="AC687" s="644" t="s">
        <v>1366</v>
      </c>
      <c r="AD687" s="645">
        <v>3081.3424366011477</v>
      </c>
      <c r="AE687" s="645">
        <v>45</v>
      </c>
    </row>
    <row r="688" spans="29:31" ht="15.75">
      <c r="AC688" s="644" t="s">
        <v>1853</v>
      </c>
      <c r="AD688" s="645">
        <v>3064.8278188341351</v>
      </c>
      <c r="AE688" s="645">
        <v>63</v>
      </c>
    </row>
    <row r="689" spans="29:31" ht="15.75">
      <c r="AC689" s="644" t="s">
        <v>1288</v>
      </c>
      <c r="AD689" s="645">
        <v>3042.4412008218083</v>
      </c>
      <c r="AE689" s="645">
        <v>29</v>
      </c>
    </row>
    <row r="690" spans="29:31" ht="15.75">
      <c r="AC690" s="644" t="s">
        <v>1333</v>
      </c>
      <c r="AD690" s="645">
        <v>3032.0553187574742</v>
      </c>
      <c r="AE690" s="645">
        <v>60</v>
      </c>
    </row>
    <row r="691" spans="29:31" ht="15.75">
      <c r="AC691" s="644" t="s">
        <v>1388</v>
      </c>
      <c r="AD691" s="645">
        <v>3020.9962895955346</v>
      </c>
      <c r="AE691" s="645">
        <v>53</v>
      </c>
    </row>
    <row r="692" spans="29:31" ht="15.75">
      <c r="AC692" s="644" t="s">
        <v>1438</v>
      </c>
      <c r="AD692" s="645">
        <v>3018.6496887553276</v>
      </c>
      <c r="AE692" s="645">
        <v>38</v>
      </c>
    </row>
    <row r="693" spans="29:31" ht="15.75">
      <c r="AC693" s="644" t="s">
        <v>1308</v>
      </c>
      <c r="AD693" s="645">
        <v>3012.420318297507</v>
      </c>
      <c r="AE693" s="645">
        <v>60</v>
      </c>
    </row>
    <row r="694" spans="29:31" ht="15.75">
      <c r="AC694" s="644" t="s">
        <v>1344</v>
      </c>
      <c r="AD694" s="645">
        <v>3004.8801631351389</v>
      </c>
      <c r="AE694" s="645">
        <v>57</v>
      </c>
    </row>
    <row r="695" spans="29:31" ht="15.75">
      <c r="AC695" s="644" t="s">
        <v>1854</v>
      </c>
      <c r="AD695" s="645">
        <v>2976.8375701450436</v>
      </c>
      <c r="AE695" s="645">
        <v>55</v>
      </c>
    </row>
    <row r="696" spans="29:31" ht="15.75">
      <c r="AC696" s="644" t="s">
        <v>1294</v>
      </c>
      <c r="AD696" s="645">
        <v>2970.7666124927173</v>
      </c>
      <c r="AE696" s="645">
        <v>58</v>
      </c>
    </row>
    <row r="697" spans="29:31" ht="15.75">
      <c r="AC697" s="644" t="s">
        <v>1291</v>
      </c>
      <c r="AD697" s="645">
        <v>2965.6074637392308</v>
      </c>
      <c r="AE697" s="645">
        <v>56</v>
      </c>
    </row>
    <row r="698" spans="29:31" ht="15.75">
      <c r="AC698" s="644" t="s">
        <v>1242</v>
      </c>
      <c r="AD698" s="645">
        <v>2947.5218545889429</v>
      </c>
      <c r="AE698" s="645">
        <v>23</v>
      </c>
    </row>
    <row r="699" spans="29:31" ht="15.75">
      <c r="AC699" s="644" t="s">
        <v>1278</v>
      </c>
      <c r="AD699" s="645">
        <v>2947.4586795866417</v>
      </c>
      <c r="AE699" s="645">
        <v>54</v>
      </c>
    </row>
    <row r="700" spans="29:31" ht="15.75">
      <c r="AC700" s="644" t="s">
        <v>1321</v>
      </c>
      <c r="AD700" s="645">
        <v>2940.7963570574348</v>
      </c>
      <c r="AE700" s="645">
        <v>59</v>
      </c>
    </row>
    <row r="701" spans="29:31" ht="15.75">
      <c r="AC701" s="644" t="s">
        <v>1689</v>
      </c>
      <c r="AD701" s="645">
        <v>2937.6590720922391</v>
      </c>
      <c r="AE701" s="645">
        <v>62</v>
      </c>
    </row>
    <row r="702" spans="29:31" ht="15.75">
      <c r="AC702" s="644" t="s">
        <v>1244</v>
      </c>
      <c r="AD702" s="645">
        <v>2934.2859771242829</v>
      </c>
      <c r="AE702" s="645">
        <v>37</v>
      </c>
    </row>
    <row r="703" spans="29:31" ht="15.75">
      <c r="AC703" s="644" t="s">
        <v>1298</v>
      </c>
      <c r="AD703" s="645">
        <v>2905.267854404955</v>
      </c>
      <c r="AE703" s="645">
        <v>54</v>
      </c>
    </row>
    <row r="704" spans="29:31" ht="15.75">
      <c r="AC704" s="644" t="s">
        <v>1320</v>
      </c>
      <c r="AD704" s="645">
        <v>2897.2708595259264</v>
      </c>
      <c r="AE704" s="645">
        <v>58</v>
      </c>
    </row>
    <row r="705" spans="29:31" ht="15.75">
      <c r="AC705" s="644" t="s">
        <v>1387</v>
      </c>
      <c r="AD705" s="645">
        <v>2873.0078807764248</v>
      </c>
      <c r="AE705" s="645">
        <v>55</v>
      </c>
    </row>
    <row r="706" spans="29:31" ht="15.75">
      <c r="AC706" s="644" t="s">
        <v>1391</v>
      </c>
      <c r="AD706" s="645">
        <v>2863.8542822973845</v>
      </c>
      <c r="AE706" s="645">
        <v>22</v>
      </c>
    </row>
    <row r="707" spans="29:31" ht="15.75">
      <c r="AC707" s="644" t="s">
        <v>1451</v>
      </c>
      <c r="AD707" s="645">
        <v>2846.3943148017543</v>
      </c>
      <c r="AE707" s="645">
        <v>29</v>
      </c>
    </row>
    <row r="708" spans="29:31" ht="15.75">
      <c r="AC708" s="644" t="s">
        <v>1405</v>
      </c>
      <c r="AD708" s="645">
        <v>2784.0730428383063</v>
      </c>
      <c r="AE708" s="645">
        <v>55</v>
      </c>
    </row>
    <row r="709" spans="29:31" ht="15.75">
      <c r="AC709" s="644" t="s">
        <v>1645</v>
      </c>
      <c r="AD709" s="645">
        <v>2778.816963601239</v>
      </c>
      <c r="AE709" s="645">
        <v>25</v>
      </c>
    </row>
    <row r="710" spans="29:31" ht="15.75">
      <c r="AC710" s="644" t="s">
        <v>1224</v>
      </c>
      <c r="AD710" s="645">
        <v>2774.8180061942294</v>
      </c>
      <c r="AE710" s="645">
        <v>60</v>
      </c>
    </row>
    <row r="711" spans="29:31" ht="15.75">
      <c r="AC711" s="644" t="s">
        <v>1356</v>
      </c>
      <c r="AD711" s="645">
        <v>2756.3079942350746</v>
      </c>
      <c r="AE711" s="645">
        <v>42</v>
      </c>
    </row>
    <row r="712" spans="29:31" ht="15.75">
      <c r="AC712" s="644" t="s">
        <v>1599</v>
      </c>
      <c r="AD712" s="645">
        <v>2749.763975345742</v>
      </c>
      <c r="AE712" s="645">
        <v>20</v>
      </c>
    </row>
    <row r="713" spans="29:31" ht="15.75">
      <c r="AC713" s="644" t="s">
        <v>1323</v>
      </c>
      <c r="AD713" s="645">
        <v>2749.5992149888075</v>
      </c>
      <c r="AE713" s="645">
        <v>58</v>
      </c>
    </row>
    <row r="714" spans="29:31" ht="15.75">
      <c r="AC714" s="644" t="s">
        <v>1318</v>
      </c>
      <c r="AD714" s="645">
        <v>2735.1267609088959</v>
      </c>
      <c r="AE714" s="645">
        <v>25</v>
      </c>
    </row>
    <row r="715" spans="29:31" ht="15.75">
      <c r="AC715" s="644" t="s">
        <v>1260</v>
      </c>
      <c r="AD715" s="645">
        <v>2714.8416178590046</v>
      </c>
      <c r="AE715" s="645">
        <v>63</v>
      </c>
    </row>
    <row r="716" spans="29:31" ht="15.75">
      <c r="AC716" s="644" t="s">
        <v>1367</v>
      </c>
      <c r="AD716" s="645">
        <v>2714.6327926159875</v>
      </c>
      <c r="AE716" s="645">
        <v>54</v>
      </c>
    </row>
    <row r="717" spans="29:31" ht="15.75">
      <c r="AC717" s="644" t="s">
        <v>1336</v>
      </c>
      <c r="AD717" s="645">
        <v>2703.3338444083292</v>
      </c>
      <c r="AE717" s="645">
        <v>58</v>
      </c>
    </row>
    <row r="718" spans="29:31" ht="15.75">
      <c r="AC718" s="644" t="s">
        <v>1313</v>
      </c>
      <c r="AD718" s="645">
        <v>2696.401490294686</v>
      </c>
      <c r="AE718" s="645">
        <v>51</v>
      </c>
    </row>
    <row r="719" spans="29:31" ht="15.75">
      <c r="AC719" s="644" t="s">
        <v>1327</v>
      </c>
      <c r="AD719" s="645">
        <v>2694.3226212014342</v>
      </c>
      <c r="AE719" s="645">
        <v>43</v>
      </c>
    </row>
    <row r="720" spans="29:31" ht="15.75">
      <c r="AC720" s="644" t="s">
        <v>1855</v>
      </c>
      <c r="AD720" s="645">
        <v>2692.6497194198282</v>
      </c>
      <c r="AE720" s="645">
        <v>50</v>
      </c>
    </row>
    <row r="721" spans="29:31" ht="15.75">
      <c r="AC721" s="644" t="s">
        <v>1348</v>
      </c>
      <c r="AD721" s="645">
        <v>2679.9782282052065</v>
      </c>
      <c r="AE721" s="645">
        <v>51</v>
      </c>
    </row>
    <row r="722" spans="29:31" ht="15.75">
      <c r="AC722" s="644" t="s">
        <v>1262</v>
      </c>
      <c r="AD722" s="645">
        <v>2679.5320597344453</v>
      </c>
      <c r="AE722" s="645">
        <v>55</v>
      </c>
    </row>
    <row r="723" spans="29:31" ht="15.75">
      <c r="AC723" s="644" t="s">
        <v>1417</v>
      </c>
      <c r="AD723" s="645">
        <v>2678.9488209499864</v>
      </c>
      <c r="AE723" s="645">
        <v>26</v>
      </c>
    </row>
    <row r="724" spans="29:31" ht="15.75">
      <c r="AC724" s="644" t="s">
        <v>1423</v>
      </c>
      <c r="AD724" s="645">
        <v>2675.1919597681754</v>
      </c>
      <c r="AE724" s="645">
        <v>48</v>
      </c>
    </row>
    <row r="725" spans="29:31" ht="15.75">
      <c r="AC725" s="644" t="s">
        <v>1331</v>
      </c>
      <c r="AD725" s="645">
        <v>2674.131581368249</v>
      </c>
      <c r="AE725" s="645">
        <v>49</v>
      </c>
    </row>
    <row r="726" spans="29:31" ht="15.75">
      <c r="AC726" s="644" t="s">
        <v>1299</v>
      </c>
      <c r="AD726" s="645">
        <v>2669.8889178498052</v>
      </c>
      <c r="AE726" s="645">
        <v>30</v>
      </c>
    </row>
    <row r="727" spans="29:31" ht="15.75">
      <c r="AC727" s="644" t="s">
        <v>1398</v>
      </c>
      <c r="AD727" s="645">
        <v>2658.5244242740187</v>
      </c>
      <c r="AE727" s="645">
        <v>49</v>
      </c>
    </row>
    <row r="728" spans="29:31" ht="15.75">
      <c r="AC728" s="644" t="s">
        <v>1268</v>
      </c>
      <c r="AD728" s="645">
        <v>2643.5572046242069</v>
      </c>
      <c r="AE728" s="645">
        <v>46</v>
      </c>
    </row>
    <row r="729" spans="29:31" ht="15.75">
      <c r="AC729" s="644" t="s">
        <v>1467</v>
      </c>
      <c r="AD729" s="645">
        <v>2639.7959277544392</v>
      </c>
      <c r="AE729" s="645">
        <v>47</v>
      </c>
    </row>
    <row r="730" spans="29:31" ht="15.75">
      <c r="AC730" s="644" t="s">
        <v>1272</v>
      </c>
      <c r="AD730" s="645">
        <v>2636.1077550519758</v>
      </c>
      <c r="AE730" s="645">
        <v>55</v>
      </c>
    </row>
    <row r="731" spans="29:31" ht="15.75">
      <c r="AC731" s="644" t="s">
        <v>1375</v>
      </c>
      <c r="AD731" s="645">
        <v>2634.4857256753853</v>
      </c>
      <c r="AE731" s="645">
        <v>41</v>
      </c>
    </row>
    <row r="732" spans="29:31" ht="15.75">
      <c r="AC732" s="644" t="s">
        <v>1450</v>
      </c>
      <c r="AD732" s="645">
        <v>2627.1794179877961</v>
      </c>
      <c r="AE732" s="645">
        <v>51</v>
      </c>
    </row>
    <row r="733" spans="29:31" ht="15.75">
      <c r="AC733" s="644" t="s">
        <v>1402</v>
      </c>
      <c r="AD733" s="645">
        <v>2604.4990953972583</v>
      </c>
      <c r="AE733" s="645">
        <v>51</v>
      </c>
    </row>
    <row r="734" spans="29:31" ht="15.75">
      <c r="AC734" s="644" t="s">
        <v>1856</v>
      </c>
      <c r="AD734" s="645">
        <v>2601.9809266811808</v>
      </c>
      <c r="AE734" s="645">
        <v>55</v>
      </c>
    </row>
    <row r="735" spans="29:31" ht="15.75">
      <c r="AC735" s="644" t="s">
        <v>1362</v>
      </c>
      <c r="AD735" s="645">
        <v>2601.2143141884644</v>
      </c>
      <c r="AE735" s="645">
        <v>30</v>
      </c>
    </row>
    <row r="736" spans="29:31" ht="15.75">
      <c r="AC736" s="644" t="s">
        <v>1425</v>
      </c>
      <c r="AD736" s="645">
        <v>2588.939314955077</v>
      </c>
      <c r="AE736" s="645">
        <v>36</v>
      </c>
    </row>
    <row r="737" spans="29:31" ht="15.75">
      <c r="AC737" s="644" t="s">
        <v>1430</v>
      </c>
      <c r="AD737" s="645">
        <v>2581.7046395388056</v>
      </c>
      <c r="AE737" s="645">
        <v>55</v>
      </c>
    </row>
    <row r="738" spans="29:31" ht="15.75">
      <c r="AC738" s="644" t="s">
        <v>1279</v>
      </c>
      <c r="AD738" s="645">
        <v>2571.2183005734259</v>
      </c>
      <c r="AE738" s="645">
        <v>42</v>
      </c>
    </row>
    <row r="739" spans="29:31" ht="15.75">
      <c r="AC739" s="644" t="s">
        <v>1422</v>
      </c>
      <c r="AD739" s="645">
        <v>2569.9917205850788</v>
      </c>
      <c r="AE739" s="645">
        <v>43</v>
      </c>
    </row>
    <row r="740" spans="29:31" ht="15.75">
      <c r="AC740" s="644" t="s">
        <v>1368</v>
      </c>
      <c r="AD740" s="645">
        <v>2565.6874214222194</v>
      </c>
      <c r="AE740" s="645">
        <v>36</v>
      </c>
    </row>
    <row r="741" spans="29:31" ht="15.75">
      <c r="AC741" s="644" t="s">
        <v>1493</v>
      </c>
      <c r="AD741" s="645">
        <v>2556.7569225108095</v>
      </c>
      <c r="AE741" s="645">
        <v>19</v>
      </c>
    </row>
    <row r="742" spans="29:31" ht="15.75">
      <c r="AC742" s="644" t="s">
        <v>1364</v>
      </c>
      <c r="AD742" s="645">
        <v>2546.984453098647</v>
      </c>
      <c r="AE742" s="645">
        <v>43</v>
      </c>
    </row>
    <row r="743" spans="29:31" ht="15.75">
      <c r="AC743" s="644" t="s">
        <v>1113</v>
      </c>
      <c r="AD743" s="645">
        <v>2533.2561405660667</v>
      </c>
      <c r="AE743" s="645">
        <v>24</v>
      </c>
    </row>
    <row r="744" spans="29:31" ht="15.75">
      <c r="AC744" s="644" t="s">
        <v>1370</v>
      </c>
      <c r="AD744" s="645">
        <v>2531.4844684308964</v>
      </c>
      <c r="AE744" s="645">
        <v>54</v>
      </c>
    </row>
    <row r="745" spans="29:31" ht="15.75">
      <c r="AC745" s="644" t="s">
        <v>1283</v>
      </c>
      <c r="AD745" s="645">
        <v>2525.6789120235503</v>
      </c>
      <c r="AE745" s="645">
        <v>52</v>
      </c>
    </row>
    <row r="746" spans="29:31" ht="15.75">
      <c r="AC746" s="644" t="s">
        <v>1332</v>
      </c>
      <c r="AD746" s="645">
        <v>2514.9205789457546</v>
      </c>
      <c r="AE746" s="645">
        <v>46</v>
      </c>
    </row>
    <row r="747" spans="29:31" ht="15.75">
      <c r="AC747" s="644" t="s">
        <v>1350</v>
      </c>
      <c r="AD747" s="645">
        <v>2507.4891294348522</v>
      </c>
      <c r="AE747" s="645">
        <v>51</v>
      </c>
    </row>
    <row r="748" spans="29:31" ht="15.75">
      <c r="AC748" s="644" t="s">
        <v>1328</v>
      </c>
      <c r="AD748" s="645">
        <v>2501.6660635981725</v>
      </c>
      <c r="AE748" s="645">
        <v>49</v>
      </c>
    </row>
    <row r="749" spans="29:31" ht="15.75">
      <c r="AC749" s="644" t="s">
        <v>1359</v>
      </c>
      <c r="AD749" s="645">
        <v>2501.600257581797</v>
      </c>
      <c r="AE749" s="645">
        <v>55</v>
      </c>
    </row>
    <row r="750" spans="29:31" ht="15.75">
      <c r="AC750" s="644" t="s">
        <v>1437</v>
      </c>
      <c r="AD750" s="645">
        <v>2473.248137131643</v>
      </c>
      <c r="AE750" s="645">
        <v>53</v>
      </c>
    </row>
    <row r="751" spans="29:31" ht="15.75">
      <c r="AC751" s="644" t="s">
        <v>1290</v>
      </c>
      <c r="AD751" s="645">
        <v>2446.0388825856312</v>
      </c>
      <c r="AE751" s="645">
        <v>49</v>
      </c>
    </row>
    <row r="752" spans="29:31" ht="15.75">
      <c r="AC752" s="644" t="s">
        <v>1355</v>
      </c>
      <c r="AD752" s="645">
        <v>2441.138572874182</v>
      </c>
      <c r="AE752" s="645">
        <v>52</v>
      </c>
    </row>
    <row r="753" spans="29:31" ht="15.75">
      <c r="AC753" s="644" t="s">
        <v>1392</v>
      </c>
      <c r="AD753" s="645">
        <v>2433.138879519181</v>
      </c>
      <c r="AE753" s="645">
        <v>51</v>
      </c>
    </row>
    <row r="754" spans="29:31" ht="15.75">
      <c r="AC754" s="644" t="s">
        <v>1341</v>
      </c>
      <c r="AD754" s="645">
        <v>2425.2844132347977</v>
      </c>
      <c r="AE754" s="645">
        <v>28</v>
      </c>
    </row>
    <row r="755" spans="29:31" ht="15.75">
      <c r="AC755" s="644" t="s">
        <v>1312</v>
      </c>
      <c r="AD755" s="645">
        <v>2422.6495967618289</v>
      </c>
      <c r="AE755" s="645">
        <v>45</v>
      </c>
    </row>
    <row r="756" spans="29:31" ht="15.75">
      <c r="AC756" s="644" t="s">
        <v>1363</v>
      </c>
      <c r="AD756" s="645">
        <v>2409.2495170341294</v>
      </c>
      <c r="AE756" s="645">
        <v>44</v>
      </c>
    </row>
    <row r="757" spans="29:31" ht="15.75">
      <c r="AC757" s="644" t="s">
        <v>1373</v>
      </c>
      <c r="AD757" s="645">
        <v>2375.9788108307011</v>
      </c>
      <c r="AE757" s="645">
        <v>40</v>
      </c>
    </row>
    <row r="758" spans="29:31" ht="15.75">
      <c r="AC758" s="644" t="s">
        <v>1240</v>
      </c>
      <c r="AD758" s="645">
        <v>2373.0189966575695</v>
      </c>
      <c r="AE758" s="645">
        <v>28</v>
      </c>
    </row>
    <row r="759" spans="29:31" ht="15.75">
      <c r="AC759" s="644" t="s">
        <v>1301</v>
      </c>
      <c r="AD759" s="645">
        <v>2368.809328140811</v>
      </c>
      <c r="AE759" s="645">
        <v>44</v>
      </c>
    </row>
    <row r="760" spans="29:31" ht="15.75">
      <c r="AC760" s="644" t="s">
        <v>1309</v>
      </c>
      <c r="AD760" s="645">
        <v>2359.9208855907523</v>
      </c>
      <c r="AE760" s="645">
        <v>32</v>
      </c>
    </row>
    <row r="761" spans="29:31" ht="15.75">
      <c r="AC761" s="644" t="s">
        <v>848</v>
      </c>
      <c r="AD761" s="645">
        <v>2347.1518199380585</v>
      </c>
      <c r="AE761" s="645">
        <v>39</v>
      </c>
    </row>
    <row r="762" spans="29:31" ht="15.75">
      <c r="AC762" s="644" t="s">
        <v>1303</v>
      </c>
      <c r="AD762" s="645">
        <v>2345.7325748980406</v>
      </c>
      <c r="AE762" s="645">
        <v>46</v>
      </c>
    </row>
    <row r="763" spans="29:31" ht="15.75">
      <c r="AC763" s="644" t="s">
        <v>1304</v>
      </c>
      <c r="AD763" s="645">
        <v>2325.5956579068416</v>
      </c>
      <c r="AE763" s="645">
        <v>32</v>
      </c>
    </row>
    <row r="764" spans="29:31" ht="15.75">
      <c r="AC764" s="644" t="s">
        <v>1253</v>
      </c>
      <c r="AD764" s="645">
        <v>2314.8630830088009</v>
      </c>
      <c r="AE764" s="645">
        <v>41</v>
      </c>
    </row>
    <row r="765" spans="29:31" ht="15.75">
      <c r="AC765" s="644" t="s">
        <v>1638</v>
      </c>
      <c r="AD765" s="645">
        <v>2313.3298580233663</v>
      </c>
      <c r="AE765" s="645">
        <v>32</v>
      </c>
    </row>
    <row r="766" spans="29:31" ht="15.75">
      <c r="AC766" s="644" t="s">
        <v>1421</v>
      </c>
      <c r="AD766" s="645">
        <v>2297.8050351108523</v>
      </c>
      <c r="AE766" s="645">
        <v>26</v>
      </c>
    </row>
    <row r="767" spans="29:31" ht="15.75">
      <c r="AC767" s="644" t="s">
        <v>1419</v>
      </c>
      <c r="AD767" s="645">
        <v>2297.0347428781697</v>
      </c>
      <c r="AE767" s="645">
        <v>43</v>
      </c>
    </row>
    <row r="768" spans="29:31" ht="15.75">
      <c r="AC768" s="644" t="s">
        <v>1415</v>
      </c>
      <c r="AD768" s="645">
        <v>2289.0564533439638</v>
      </c>
      <c r="AE768" s="645">
        <v>48</v>
      </c>
    </row>
    <row r="769" spans="29:31" ht="15.75">
      <c r="AC769" s="644" t="s">
        <v>1468</v>
      </c>
      <c r="AD769" s="645">
        <v>2287.3469074852046</v>
      </c>
      <c r="AE769" s="645">
        <v>46</v>
      </c>
    </row>
    <row r="770" spans="29:31" ht="15.75">
      <c r="AC770" s="644" t="s">
        <v>1407</v>
      </c>
      <c r="AD770" s="645">
        <v>2265.8619484223123</v>
      </c>
      <c r="AE770" s="645">
        <v>25</v>
      </c>
    </row>
    <row r="771" spans="29:31" ht="15.75">
      <c r="AC771" s="644" t="s">
        <v>1365</v>
      </c>
      <c r="AD771" s="645">
        <v>2264.165848946674</v>
      </c>
      <c r="AE771" s="645">
        <v>24</v>
      </c>
    </row>
    <row r="772" spans="29:31" ht="15.75">
      <c r="AC772" s="644" t="s">
        <v>1317</v>
      </c>
      <c r="AD772" s="645">
        <v>2250.326883566895</v>
      </c>
      <c r="AE772" s="645">
        <v>45</v>
      </c>
    </row>
    <row r="773" spans="29:31" ht="15.75">
      <c r="AC773" s="644" t="s">
        <v>1379</v>
      </c>
      <c r="AD773" s="645">
        <v>2237.3289932844746</v>
      </c>
      <c r="AE773" s="645">
        <v>28</v>
      </c>
    </row>
    <row r="774" spans="29:31" ht="15.75">
      <c r="AC774" s="644" t="s">
        <v>1349</v>
      </c>
      <c r="AD774" s="645">
        <v>2212.5902302903928</v>
      </c>
      <c r="AE774" s="645">
        <v>17</v>
      </c>
    </row>
    <row r="775" spans="29:31" ht="15.75">
      <c r="AC775" s="644" t="s">
        <v>1113</v>
      </c>
      <c r="AD775" s="645">
        <v>2209.9635092453468</v>
      </c>
      <c r="AE775" s="645">
        <v>20</v>
      </c>
    </row>
    <row r="776" spans="29:31" ht="15.75">
      <c r="AC776" s="644" t="s">
        <v>1403</v>
      </c>
      <c r="AD776" s="645">
        <v>2198.9762963417252</v>
      </c>
      <c r="AE776" s="645">
        <v>16</v>
      </c>
    </row>
    <row r="777" spans="29:31" ht="15.75">
      <c r="AC777" s="644" t="s">
        <v>1498</v>
      </c>
      <c r="AD777" s="645">
        <v>2188.2976602986723</v>
      </c>
      <c r="AE777" s="645">
        <v>44</v>
      </c>
    </row>
    <row r="778" spans="29:31" ht="15.75">
      <c r="AC778" s="644" t="s">
        <v>1351</v>
      </c>
      <c r="AD778" s="645">
        <v>2187.4492042562324</v>
      </c>
      <c r="AE778" s="645">
        <v>47</v>
      </c>
    </row>
    <row r="779" spans="29:31" ht="15.75">
      <c r="AC779" s="644" t="s">
        <v>1410</v>
      </c>
      <c r="AD779" s="645">
        <v>2187.2685903529486</v>
      </c>
      <c r="AE779" s="645">
        <v>25</v>
      </c>
    </row>
    <row r="780" spans="29:31" ht="15.75">
      <c r="AC780" s="644" t="s">
        <v>1411</v>
      </c>
      <c r="AD780" s="645">
        <v>2144.8550795743768</v>
      </c>
      <c r="AE780" s="645">
        <v>18</v>
      </c>
    </row>
    <row r="781" spans="29:31" ht="15.75">
      <c r="AC781" s="644" t="s">
        <v>1598</v>
      </c>
      <c r="AD781" s="645">
        <v>2141.2500689951239</v>
      </c>
      <c r="AE781" s="645">
        <v>38</v>
      </c>
    </row>
    <row r="782" spans="29:31" ht="15.75">
      <c r="AC782" s="644" t="s">
        <v>1385</v>
      </c>
      <c r="AD782" s="645">
        <v>2137.2800588758396</v>
      </c>
      <c r="AE782" s="645">
        <v>50</v>
      </c>
    </row>
    <row r="783" spans="29:31" ht="15.75">
      <c r="AC783" s="644" t="s">
        <v>1326</v>
      </c>
      <c r="AD783" s="645">
        <v>2126.1781300788075</v>
      </c>
      <c r="AE783" s="645">
        <v>42</v>
      </c>
    </row>
    <row r="784" spans="29:31" ht="15.75">
      <c r="AC784" s="644" t="s">
        <v>1444</v>
      </c>
      <c r="AD784" s="645">
        <v>2119.8129465517768</v>
      </c>
      <c r="AE784" s="645">
        <v>38</v>
      </c>
    </row>
    <row r="785" spans="29:31" ht="15.75">
      <c r="AC785" s="644" t="s">
        <v>1434</v>
      </c>
      <c r="AD785" s="645">
        <v>2117.8640642727914</v>
      </c>
      <c r="AE785" s="645">
        <v>40</v>
      </c>
    </row>
    <row r="786" spans="29:31" ht="15.75">
      <c r="AC786" s="644" t="s">
        <v>1230</v>
      </c>
      <c r="AD786" s="645">
        <v>2114.0566066664619</v>
      </c>
      <c r="AE786" s="645">
        <v>81</v>
      </c>
    </row>
    <row r="787" spans="29:31" ht="15.75">
      <c r="AC787" s="644" t="s">
        <v>1374</v>
      </c>
      <c r="AD787" s="645">
        <v>2100.562540247156</v>
      </c>
      <c r="AE787" s="645">
        <v>37</v>
      </c>
    </row>
    <row r="788" spans="29:31" ht="15.75">
      <c r="AC788" s="644" t="s">
        <v>1390</v>
      </c>
      <c r="AD788" s="645">
        <v>2099.2345527582715</v>
      </c>
      <c r="AE788" s="645">
        <v>42</v>
      </c>
    </row>
    <row r="789" spans="29:31" ht="15.75">
      <c r="AC789" s="644" t="s">
        <v>1330</v>
      </c>
      <c r="AD789" s="645">
        <v>2088.3976878967223</v>
      </c>
      <c r="AE789" s="645">
        <v>34</v>
      </c>
    </row>
    <row r="790" spans="29:31" ht="15.75">
      <c r="AC790" s="644" t="s">
        <v>1857</v>
      </c>
      <c r="AD790" s="645">
        <v>2064.3341203888258</v>
      </c>
      <c r="AE790" s="645">
        <v>29</v>
      </c>
    </row>
    <row r="791" spans="29:31" ht="15.75">
      <c r="AC791" s="644" t="s">
        <v>1394</v>
      </c>
      <c r="AD791" s="645">
        <v>2060.1591180889882</v>
      </c>
      <c r="AE791" s="645">
        <v>28</v>
      </c>
    </row>
    <row r="792" spans="29:31" ht="15.75">
      <c r="AC792" s="644" t="s">
        <v>1516</v>
      </c>
      <c r="AD792" s="645">
        <v>2053.6783293980561</v>
      </c>
      <c r="AE792" s="645">
        <v>39</v>
      </c>
    </row>
    <row r="793" spans="29:31" ht="15.75">
      <c r="AC793" s="644" t="s">
        <v>1393</v>
      </c>
      <c r="AD793" s="645">
        <v>2052.8670693937629</v>
      </c>
      <c r="AE793" s="645">
        <v>40</v>
      </c>
    </row>
    <row r="794" spans="29:31" ht="15.75">
      <c r="AC794" s="644" t="s">
        <v>1465</v>
      </c>
      <c r="AD794" s="645">
        <v>2044.4532519701941</v>
      </c>
      <c r="AE794" s="645">
        <v>24</v>
      </c>
    </row>
    <row r="795" spans="29:31" ht="15.75">
      <c r="AC795" s="644" t="s">
        <v>1477</v>
      </c>
      <c r="AD795" s="645">
        <v>2042.6412866824082</v>
      </c>
      <c r="AE795" s="645">
        <v>38</v>
      </c>
    </row>
    <row r="796" spans="29:31" ht="15.75">
      <c r="AC796" s="644" t="s">
        <v>1335</v>
      </c>
      <c r="AD796" s="645">
        <v>2038.5759406335287</v>
      </c>
      <c r="AE796" s="645">
        <v>35</v>
      </c>
    </row>
    <row r="797" spans="29:31" ht="15.75">
      <c r="AC797" s="644" t="s">
        <v>1377</v>
      </c>
      <c r="AD797" s="645">
        <v>2035.8796111741437</v>
      </c>
      <c r="AE797" s="645">
        <v>19</v>
      </c>
    </row>
    <row r="798" spans="29:31" ht="15.75">
      <c r="AC798" s="644" t="s">
        <v>1338</v>
      </c>
      <c r="AD798" s="645">
        <v>2035.50949066266</v>
      </c>
      <c r="AE798" s="645">
        <v>38</v>
      </c>
    </row>
    <row r="799" spans="29:31" ht="15.75">
      <c r="AC799" s="644" t="s">
        <v>1406</v>
      </c>
      <c r="AD799" s="645">
        <v>2026.1319800067467</v>
      </c>
      <c r="AE799" s="645">
        <v>28</v>
      </c>
    </row>
    <row r="800" spans="29:31" ht="15.75">
      <c r="AC800" s="644" t="s">
        <v>1858</v>
      </c>
      <c r="AD800" s="645">
        <v>2023.8569807733588</v>
      </c>
      <c r="AE800" s="645">
        <v>20</v>
      </c>
    </row>
    <row r="801" spans="29:31" ht="15.75">
      <c r="AC801" s="644" t="s">
        <v>1859</v>
      </c>
      <c r="AD801" s="645">
        <v>2014.6576308607528</v>
      </c>
      <c r="AE801" s="645">
        <v>35</v>
      </c>
    </row>
    <row r="802" spans="29:31" ht="15.75">
      <c r="AC802" s="644" t="s">
        <v>1441</v>
      </c>
      <c r="AD802" s="645">
        <v>2009.7903161509917</v>
      </c>
      <c r="AE802" s="645">
        <v>39</v>
      </c>
    </row>
    <row r="803" spans="29:31" ht="15.75">
      <c r="AC803" s="644" t="s">
        <v>1436</v>
      </c>
      <c r="AD803" s="645">
        <v>2009.536046119408</v>
      </c>
      <c r="AE803" s="645">
        <v>37</v>
      </c>
    </row>
    <row r="804" spans="29:31" ht="15.75">
      <c r="AC804" s="644" t="s">
        <v>1445</v>
      </c>
      <c r="AD804" s="645">
        <v>2009.5263561374998</v>
      </c>
      <c r="AE804" s="645">
        <v>42</v>
      </c>
    </row>
    <row r="805" spans="29:31" ht="15.75">
      <c r="AC805" s="644" t="s">
        <v>1343</v>
      </c>
      <c r="AD805" s="645">
        <v>2003.0051209714513</v>
      </c>
      <c r="AE805" s="645">
        <v>27</v>
      </c>
    </row>
    <row r="806" spans="29:31" ht="15.75">
      <c r="AC806" s="644" t="s">
        <v>1432</v>
      </c>
      <c r="AD806" s="645">
        <v>1995.1806139032853</v>
      </c>
      <c r="AE806" s="645">
        <v>41</v>
      </c>
    </row>
    <row r="807" spans="29:31" ht="15.75">
      <c r="AC807" s="644" t="s">
        <v>1358</v>
      </c>
      <c r="AD807" s="645">
        <v>1992.5558860507192</v>
      </c>
      <c r="AE807" s="645">
        <v>37</v>
      </c>
    </row>
    <row r="808" spans="29:31" ht="15.75">
      <c r="AC808" s="644" t="s">
        <v>1454</v>
      </c>
      <c r="AD808" s="645">
        <v>1991.6932016804149</v>
      </c>
      <c r="AE808" s="645">
        <v>37</v>
      </c>
    </row>
    <row r="809" spans="29:31" ht="15.75">
      <c r="AC809" s="644" t="s">
        <v>1429</v>
      </c>
      <c r="AD809" s="645">
        <v>1990.1260310938032</v>
      </c>
      <c r="AE809" s="645">
        <v>39</v>
      </c>
    </row>
    <row r="810" spans="29:31" ht="15.75">
      <c r="AC810" s="644" t="s">
        <v>1442</v>
      </c>
      <c r="AD810" s="645">
        <v>1985.3071049645823</v>
      </c>
      <c r="AE810" s="645">
        <v>36</v>
      </c>
    </row>
    <row r="811" spans="29:31" ht="15.75">
      <c r="AC811" s="644" t="s">
        <v>1531</v>
      </c>
      <c r="AD811" s="645">
        <v>1959.8730489712061</v>
      </c>
      <c r="AE811" s="645">
        <v>39</v>
      </c>
    </row>
    <row r="812" spans="29:31" ht="15.75">
      <c r="AC812" s="644" t="s">
        <v>1501</v>
      </c>
      <c r="AD812" s="645">
        <v>1958.4594768636352</v>
      </c>
      <c r="AE812" s="645">
        <v>21</v>
      </c>
    </row>
    <row r="813" spans="29:31" ht="15.75">
      <c r="AC813" s="644" t="s">
        <v>1426</v>
      </c>
      <c r="AD813" s="645">
        <v>1932.4737051915001</v>
      </c>
      <c r="AE813" s="645">
        <v>25</v>
      </c>
    </row>
    <row r="814" spans="29:31" ht="15.75">
      <c r="AC814" s="644" t="s">
        <v>1464</v>
      </c>
      <c r="AD814" s="645">
        <v>1930.4679402655549</v>
      </c>
      <c r="AE814" s="645">
        <v>35</v>
      </c>
    </row>
    <row r="815" spans="29:31" ht="15.75">
      <c r="AC815" s="644" t="s">
        <v>1404</v>
      </c>
      <c r="AD815" s="645">
        <v>1929.5633497899482</v>
      </c>
      <c r="AE815" s="645">
        <v>19</v>
      </c>
    </row>
    <row r="816" spans="29:31" ht="15.75">
      <c r="AC816" s="644" t="s">
        <v>1354</v>
      </c>
      <c r="AD816" s="645">
        <v>1922.4893440863514</v>
      </c>
      <c r="AE816" s="645">
        <v>35</v>
      </c>
    </row>
    <row r="817" spans="29:31" ht="15.75">
      <c r="AC817" s="644" t="s">
        <v>1490</v>
      </c>
      <c r="AD817" s="645">
        <v>1906.7185918861733</v>
      </c>
      <c r="AE817" s="645">
        <v>35</v>
      </c>
    </row>
    <row r="818" spans="29:31" ht="15.75">
      <c r="AC818" s="644" t="s">
        <v>1381</v>
      </c>
      <c r="AD818" s="645">
        <v>1897.683910337003</v>
      </c>
      <c r="AE818" s="645">
        <v>36</v>
      </c>
    </row>
    <row r="819" spans="29:31" ht="15.75">
      <c r="AC819" s="644" t="s">
        <v>1408</v>
      </c>
      <c r="AD819" s="645">
        <v>1895.8957897641901</v>
      </c>
      <c r="AE819" s="645">
        <v>18</v>
      </c>
    </row>
    <row r="820" spans="29:31" ht="15.75">
      <c r="AC820" s="644" t="s">
        <v>1563</v>
      </c>
      <c r="AD820" s="645">
        <v>1889.8531170463955</v>
      </c>
      <c r="AE820" s="645">
        <v>3025</v>
      </c>
    </row>
    <row r="821" spans="29:31" ht="15.75">
      <c r="AC821" s="644" t="s">
        <v>1397</v>
      </c>
      <c r="AD821" s="645">
        <v>1886.0943853301035</v>
      </c>
      <c r="AE821" s="645">
        <v>19</v>
      </c>
    </row>
    <row r="822" spans="29:31" ht="15.75">
      <c r="AC822" s="644" t="s">
        <v>1487</v>
      </c>
      <c r="AD822" s="645">
        <v>1860.7218423231427</v>
      </c>
      <c r="AE822" s="645">
        <v>18</v>
      </c>
    </row>
    <row r="823" spans="29:31" ht="15.75">
      <c r="AC823" s="644" t="s">
        <v>1452</v>
      </c>
      <c r="AD823" s="645">
        <v>1849.8425377939961</v>
      </c>
      <c r="AE823" s="645">
        <v>37</v>
      </c>
    </row>
    <row r="824" spans="29:31" ht="15.75">
      <c r="AC824" s="644" t="s">
        <v>1360</v>
      </c>
      <c r="AD824" s="645">
        <v>1848.1493974425807</v>
      </c>
      <c r="AE824" s="645">
        <v>25</v>
      </c>
    </row>
    <row r="825" spans="29:31" ht="15.75">
      <c r="AC825" s="644" t="s">
        <v>1420</v>
      </c>
      <c r="AD825" s="645">
        <v>1840.2808868173317</v>
      </c>
      <c r="AE825" s="645">
        <v>36</v>
      </c>
    </row>
    <row r="826" spans="29:31" ht="15.75">
      <c r="AC826" s="644" t="s">
        <v>1418</v>
      </c>
      <c r="AD826" s="645">
        <v>1837.8610898163199</v>
      </c>
      <c r="AE826" s="645">
        <v>37</v>
      </c>
    </row>
    <row r="827" spans="29:31" ht="15.75">
      <c r="AC827" s="644" t="s">
        <v>1369</v>
      </c>
      <c r="AD827" s="645">
        <v>1812.5785777805036</v>
      </c>
      <c r="AE827" s="645">
        <v>23</v>
      </c>
    </row>
    <row r="828" spans="29:31" ht="15.75">
      <c r="AC828" s="644" t="s">
        <v>1382</v>
      </c>
      <c r="AD828" s="645">
        <v>1811.5023151697283</v>
      </c>
      <c r="AE828" s="645">
        <v>37</v>
      </c>
    </row>
    <row r="829" spans="29:31" ht="15.75">
      <c r="AC829" s="644" t="s">
        <v>1371</v>
      </c>
      <c r="AD829" s="645">
        <v>1806.7523228358532</v>
      </c>
      <c r="AE829" s="645">
        <v>22</v>
      </c>
    </row>
    <row r="830" spans="29:31" ht="15.75">
      <c r="AC830" s="644" t="s">
        <v>1395</v>
      </c>
      <c r="AD830" s="645">
        <v>1771.8471681334522</v>
      </c>
      <c r="AE830" s="645">
        <v>35</v>
      </c>
    </row>
    <row r="831" spans="29:31" ht="15.75">
      <c r="AC831" s="644" t="s">
        <v>1620</v>
      </c>
      <c r="AD831" s="645">
        <v>1768.4111189475946</v>
      </c>
      <c r="AE831" s="645">
        <v>17</v>
      </c>
    </row>
    <row r="832" spans="29:31" ht="15.75">
      <c r="AC832" s="644" t="s">
        <v>1378</v>
      </c>
      <c r="AD832" s="645">
        <v>1766.2751832203858</v>
      </c>
      <c r="AE832" s="645">
        <v>21</v>
      </c>
    </row>
    <row r="833" spans="29:31" ht="15.75">
      <c r="AC833" s="644" t="s">
        <v>1860</v>
      </c>
      <c r="AD833" s="645">
        <v>1764.7419582349517</v>
      </c>
      <c r="AE833" s="645">
        <v>27</v>
      </c>
    </row>
    <row r="834" spans="29:31" ht="15.75">
      <c r="AC834" s="644" t="s">
        <v>1396</v>
      </c>
      <c r="AD834" s="645">
        <v>1757.3824783048669</v>
      </c>
      <c r="AE834" s="645">
        <v>22</v>
      </c>
    </row>
    <row r="835" spans="29:31" ht="15.75">
      <c r="AC835" s="644" t="s">
        <v>1861</v>
      </c>
      <c r="AD835" s="645">
        <v>1745.3791665388978</v>
      </c>
      <c r="AE835" s="645">
        <v>33</v>
      </c>
    </row>
    <row r="836" spans="29:31" ht="15.75">
      <c r="AC836" s="644" t="s">
        <v>1483</v>
      </c>
      <c r="AD836" s="645">
        <v>1742.4733985465027</v>
      </c>
      <c r="AE836" s="645">
        <v>37</v>
      </c>
    </row>
    <row r="837" spans="29:31" ht="15.75">
      <c r="AC837" s="644" t="s">
        <v>1499</v>
      </c>
      <c r="AD837" s="645">
        <v>1727.0524516267517</v>
      </c>
      <c r="AE837" s="645">
        <v>22</v>
      </c>
    </row>
    <row r="838" spans="29:31" ht="15.75">
      <c r="AC838" s="644" t="s">
        <v>1380</v>
      </c>
      <c r="AD838" s="645">
        <v>1719.5574806047041</v>
      </c>
      <c r="AE838" s="645">
        <v>33</v>
      </c>
    </row>
    <row r="839" spans="29:31" ht="15.75">
      <c r="AC839" s="644" t="s">
        <v>1460</v>
      </c>
      <c r="AD839" s="645">
        <v>1718.5011499187394</v>
      </c>
      <c r="AE839" s="645">
        <v>18</v>
      </c>
    </row>
    <row r="840" spans="29:31" ht="15.75">
      <c r="AC840" s="644" t="s">
        <v>1240</v>
      </c>
      <c r="AD840" s="645">
        <v>1717.933059397136</v>
      </c>
      <c r="AE840" s="645">
        <v>22</v>
      </c>
    </row>
    <row r="841" spans="29:31" ht="15.75">
      <c r="AC841" s="644" t="s">
        <v>1862</v>
      </c>
      <c r="AD841" s="645">
        <v>1714.6723498206127</v>
      </c>
      <c r="AE841" s="645">
        <v>36</v>
      </c>
    </row>
    <row r="842" spans="29:31" ht="15.75">
      <c r="AC842" s="644" t="s">
        <v>1424</v>
      </c>
      <c r="AD842" s="645">
        <v>1714.4483456502408</v>
      </c>
      <c r="AE842" s="645">
        <v>35</v>
      </c>
    </row>
    <row r="843" spans="29:31" ht="15.75">
      <c r="AC843" s="644" t="s">
        <v>1484</v>
      </c>
      <c r="AD843" s="645">
        <v>1713.4404035448163</v>
      </c>
      <c r="AE843" s="645">
        <v>18</v>
      </c>
    </row>
    <row r="844" spans="29:31" ht="15.75">
      <c r="AC844" s="644" t="s">
        <v>1863</v>
      </c>
      <c r="AD844" s="645">
        <v>1705.9458464935144</v>
      </c>
      <c r="AE844" s="645">
        <v>37</v>
      </c>
    </row>
    <row r="845" spans="29:31" ht="15.75">
      <c r="AC845" s="644" t="s">
        <v>1504</v>
      </c>
      <c r="AD845" s="645">
        <v>1703.7546840023304</v>
      </c>
      <c r="AE845" s="645">
        <v>23</v>
      </c>
    </row>
    <row r="846" spans="29:31" ht="15.75">
      <c r="AC846" s="644" t="s">
        <v>1502</v>
      </c>
      <c r="AD846" s="645">
        <v>1700.3420624942505</v>
      </c>
      <c r="AE846" s="645">
        <v>34</v>
      </c>
    </row>
    <row r="847" spans="29:31" ht="15.75">
      <c r="AC847" s="644" t="s">
        <v>1475</v>
      </c>
      <c r="AD847" s="645">
        <v>1692.268498359449</v>
      </c>
      <c r="AE847" s="645">
        <v>35</v>
      </c>
    </row>
    <row r="848" spans="29:31" ht="15.75">
      <c r="AC848" s="644" t="s">
        <v>1384</v>
      </c>
      <c r="AD848" s="645">
        <v>1692.0670939253628</v>
      </c>
      <c r="AE848" s="645">
        <v>30</v>
      </c>
    </row>
    <row r="849" spans="29:31" ht="15.75">
      <c r="AC849" s="644" t="s">
        <v>1431</v>
      </c>
      <c r="AD849" s="645">
        <v>1686.8948514304991</v>
      </c>
      <c r="AE849" s="645">
        <v>23</v>
      </c>
    </row>
    <row r="850" spans="29:31" ht="15.75">
      <c r="AC850" s="644" t="s">
        <v>1433</v>
      </c>
      <c r="AD850" s="645">
        <v>1684.1197755358623</v>
      </c>
      <c r="AE850" s="645">
        <v>31</v>
      </c>
    </row>
    <row r="851" spans="29:31" ht="15.75">
      <c r="AC851" s="644" t="s">
        <v>1440</v>
      </c>
      <c r="AD851" s="645">
        <v>1682.698291987366</v>
      </c>
      <c r="AE851" s="645">
        <v>32</v>
      </c>
    </row>
    <row r="852" spans="29:31" ht="15.75">
      <c r="AC852" s="644" t="s">
        <v>1386</v>
      </c>
      <c r="AD852" s="645">
        <v>1681.0639048173932</v>
      </c>
      <c r="AE852" s="645">
        <v>28</v>
      </c>
    </row>
    <row r="853" spans="29:31" ht="15.75">
      <c r="AC853" s="644" t="s">
        <v>1389</v>
      </c>
      <c r="AD853" s="645">
        <v>1665.0823341817179</v>
      </c>
      <c r="AE853" s="645">
        <v>22</v>
      </c>
    </row>
    <row r="854" spans="29:31" ht="15.75">
      <c r="AC854" s="644" t="s">
        <v>1448</v>
      </c>
      <c r="AD854" s="645">
        <v>1658.4755143969821</v>
      </c>
      <c r="AE854" s="645">
        <v>30</v>
      </c>
    </row>
    <row r="855" spans="29:31" ht="15.75">
      <c r="AC855" s="644" t="s">
        <v>1453</v>
      </c>
      <c r="AD855" s="645">
        <v>1642.5311704639532</v>
      </c>
      <c r="AE855" s="645">
        <v>34</v>
      </c>
    </row>
    <row r="856" spans="29:31" ht="15.75">
      <c r="AC856" s="644" t="s">
        <v>1399</v>
      </c>
      <c r="AD856" s="645">
        <v>1627.2293091288218</v>
      </c>
      <c r="AE856" s="645">
        <v>36</v>
      </c>
    </row>
    <row r="857" spans="29:31" ht="15.75">
      <c r="AC857" s="644" t="s">
        <v>1400</v>
      </c>
      <c r="AD857" s="645">
        <v>1615.9915672625802</v>
      </c>
      <c r="AE857" s="645">
        <v>33</v>
      </c>
    </row>
    <row r="858" spans="29:31" ht="15.75">
      <c r="AC858" s="644" t="s">
        <v>1401</v>
      </c>
      <c r="AD858" s="645">
        <v>1615.2942258747048</v>
      </c>
      <c r="AE858" s="645">
        <v>35</v>
      </c>
    </row>
    <row r="859" spans="29:31" ht="15.75">
      <c r="AC859" s="644" t="s">
        <v>1455</v>
      </c>
      <c r="AD859" s="645">
        <v>1605.5440495538317</v>
      </c>
      <c r="AE859" s="645">
        <v>25</v>
      </c>
    </row>
    <row r="860" spans="29:31" ht="15.75">
      <c r="AC860" s="644" t="s">
        <v>1528</v>
      </c>
      <c r="AD860" s="645">
        <v>1602.8333997730831</v>
      </c>
      <c r="AE860" s="645">
        <v>35</v>
      </c>
    </row>
    <row r="861" spans="29:31" ht="15.75">
      <c r="AC861" s="644" t="s">
        <v>1462</v>
      </c>
      <c r="AD861" s="645">
        <v>1595.9868347081351</v>
      </c>
      <c r="AE861" s="645">
        <v>30</v>
      </c>
    </row>
    <row r="862" spans="29:31" ht="15.75">
      <c r="AC862" s="644" t="s">
        <v>1409</v>
      </c>
      <c r="AD862" s="645">
        <v>1586.6237465885745</v>
      </c>
      <c r="AE862" s="645">
        <v>33</v>
      </c>
    </row>
    <row r="863" spans="29:31" ht="15.75">
      <c r="AC863" s="644" t="s">
        <v>1492</v>
      </c>
      <c r="AD863" s="645">
        <v>1584.6280396185334</v>
      </c>
      <c r="AE863" s="645">
        <v>19</v>
      </c>
    </row>
    <row r="864" spans="29:31" ht="15.75">
      <c r="AC864" s="644" t="s">
        <v>1428</v>
      </c>
      <c r="AD864" s="645">
        <v>1582.687590076968</v>
      </c>
      <c r="AE864" s="645">
        <v>35</v>
      </c>
    </row>
    <row r="865" spans="29:31" ht="15.75">
      <c r="AC865" s="644" t="s">
        <v>1474</v>
      </c>
      <c r="AD865" s="645">
        <v>1578.209009230015</v>
      </c>
      <c r="AE865" s="645">
        <v>28</v>
      </c>
    </row>
    <row r="866" spans="29:31" ht="15.75">
      <c r="AC866" s="644" t="s">
        <v>1456</v>
      </c>
      <c r="AD866" s="645">
        <v>1576.0892030296527</v>
      </c>
      <c r="AE866" s="645">
        <v>33</v>
      </c>
    </row>
    <row r="867" spans="29:31" ht="15.75">
      <c r="AC867" s="644" t="s">
        <v>1412</v>
      </c>
      <c r="AD867" s="645">
        <v>1568.2683757014504</v>
      </c>
      <c r="AE867" s="645">
        <v>37</v>
      </c>
    </row>
    <row r="868" spans="29:31" ht="15.75">
      <c r="AC868" s="644" t="s">
        <v>1513</v>
      </c>
      <c r="AD868" s="645">
        <v>1560.8230351721811</v>
      </c>
      <c r="AE868" s="645">
        <v>31</v>
      </c>
    </row>
    <row r="869" spans="29:31" ht="15.75">
      <c r="AC869" s="644" t="s">
        <v>1503</v>
      </c>
      <c r="AD869" s="645">
        <v>1558.8158596792493</v>
      </c>
      <c r="AE869" s="645">
        <v>20</v>
      </c>
    </row>
    <row r="870" spans="29:31" ht="15.75">
      <c r="AC870" s="644" t="s">
        <v>1447</v>
      </c>
      <c r="AD870" s="645">
        <v>1545.2218576553923</v>
      </c>
      <c r="AE870" s="645">
        <v>26</v>
      </c>
    </row>
    <row r="871" spans="29:31" ht="15.75">
      <c r="AC871" s="644" t="s">
        <v>1523</v>
      </c>
      <c r="AD871" s="645">
        <v>1524.2619054920119</v>
      </c>
      <c r="AE871" s="645">
        <v>37</v>
      </c>
    </row>
    <row r="872" spans="29:31" ht="15.75">
      <c r="AC872" s="644" t="s">
        <v>1556</v>
      </c>
      <c r="AD872" s="645">
        <v>1523.7404556744657</v>
      </c>
      <c r="AE872" s="645">
        <v>31</v>
      </c>
    </row>
    <row r="873" spans="29:31" ht="15.75">
      <c r="AC873" s="644" t="s">
        <v>1508</v>
      </c>
      <c r="AD873" s="645">
        <v>1505.9335806936308</v>
      </c>
      <c r="AE873" s="645">
        <v>19</v>
      </c>
    </row>
    <row r="874" spans="29:31" ht="15.75">
      <c r="AC874" s="644" t="s">
        <v>1643</v>
      </c>
      <c r="AD874" s="645">
        <v>1487.0603048051271</v>
      </c>
      <c r="AE874" s="645">
        <v>14</v>
      </c>
    </row>
    <row r="875" spans="29:31" ht="15.75">
      <c r="AC875" s="644" t="s">
        <v>1253</v>
      </c>
      <c r="AD875" s="645">
        <v>1473.7358559995091</v>
      </c>
      <c r="AE875" s="645">
        <v>25</v>
      </c>
    </row>
    <row r="876" spans="29:31" ht="15.75">
      <c r="AC876" s="644" t="s">
        <v>1711</v>
      </c>
      <c r="AD876" s="645">
        <v>1468.8295360461195</v>
      </c>
      <c r="AE876" s="645">
        <v>24</v>
      </c>
    </row>
    <row r="877" spans="29:31" ht="15.75">
      <c r="AC877" s="644" t="s">
        <v>1435</v>
      </c>
      <c r="AD877" s="645">
        <v>1455.0305111772102</v>
      </c>
      <c r="AE877" s="645">
        <v>16</v>
      </c>
    </row>
    <row r="878" spans="29:31" ht="15.75">
      <c r="AC878" s="644" t="s">
        <v>1557</v>
      </c>
      <c r="AD878" s="645">
        <v>1454.8820643341203</v>
      </c>
      <c r="AE878" s="645">
        <v>28</v>
      </c>
    </row>
    <row r="879" spans="29:31" ht="15.75">
      <c r="AC879" s="644" t="s">
        <v>1569</v>
      </c>
      <c r="AD879" s="645">
        <v>1448.550335776272</v>
      </c>
      <c r="AE879" s="645">
        <v>17</v>
      </c>
    </row>
    <row r="880" spans="29:31" ht="15.75">
      <c r="AC880" s="644" t="s">
        <v>1449</v>
      </c>
      <c r="AD880" s="645">
        <v>1428.9094170678604</v>
      </c>
      <c r="AE880" s="645">
        <v>26</v>
      </c>
    </row>
    <row r="881" spans="29:31" ht="15.75">
      <c r="AC881" s="644" t="s">
        <v>1466</v>
      </c>
      <c r="AD881" s="645">
        <v>1421.5016712152342</v>
      </c>
      <c r="AE881" s="645">
        <v>23</v>
      </c>
    </row>
    <row r="882" spans="29:31" ht="15.75">
      <c r="AC882" s="644" t="s">
        <v>1512</v>
      </c>
      <c r="AD882" s="645">
        <v>1419.2765324583725</v>
      </c>
      <c r="AE882" s="645">
        <v>27</v>
      </c>
    </row>
    <row r="883" spans="29:31" ht="15.75">
      <c r="AC883" s="644" t="s">
        <v>1443</v>
      </c>
      <c r="AD883" s="645">
        <v>1417.1636870994448</v>
      </c>
      <c r="AE883" s="645">
        <v>20</v>
      </c>
    </row>
    <row r="884" spans="29:31" ht="15.75">
      <c r="AC884" s="644" t="s">
        <v>1864</v>
      </c>
      <c r="AD884" s="645">
        <v>1417.0065315384381</v>
      </c>
      <c r="AE884" s="645">
        <v>27</v>
      </c>
    </row>
    <row r="885" spans="29:31" ht="15.75">
      <c r="AC885" s="644" t="s">
        <v>1500</v>
      </c>
      <c r="AD885" s="645">
        <v>1412.9925485265712</v>
      </c>
      <c r="AE885" s="645">
        <v>18</v>
      </c>
    </row>
    <row r="886" spans="29:31" ht="15.75">
      <c r="AC886" s="644" t="s">
        <v>1471</v>
      </c>
      <c r="AD886" s="645">
        <v>1409.3404066112662</v>
      </c>
      <c r="AE886" s="645">
        <v>25</v>
      </c>
    </row>
    <row r="887" spans="29:31" ht="15.75">
      <c r="AC887" s="644" t="s">
        <v>1529</v>
      </c>
      <c r="AD887" s="645">
        <v>1402.229309128822</v>
      </c>
      <c r="AE887" s="645">
        <v>28</v>
      </c>
    </row>
    <row r="888" spans="29:31" ht="15.75">
      <c r="AC888" s="644" t="s">
        <v>1703</v>
      </c>
      <c r="AD888" s="645">
        <v>1390.7387077979822</v>
      </c>
      <c r="AE888" s="645">
        <v>28</v>
      </c>
    </row>
    <row r="889" spans="29:31" ht="15.75">
      <c r="AC889" s="644" t="s">
        <v>1865</v>
      </c>
      <c r="AD889" s="645">
        <v>1378.9414614700565</v>
      </c>
      <c r="AE889" s="645">
        <v>22</v>
      </c>
    </row>
    <row r="890" spans="29:31" ht="15.75">
      <c r="AC890" s="644" t="s">
        <v>1461</v>
      </c>
      <c r="AD890" s="645">
        <v>1359.0506270890196</v>
      </c>
      <c r="AE890" s="645">
        <v>16</v>
      </c>
    </row>
    <row r="891" spans="29:31" ht="15.75">
      <c r="AC891" s="644" t="s">
        <v>1547</v>
      </c>
      <c r="AD891" s="645">
        <v>1352.908834442366</v>
      </c>
      <c r="AE891" s="645">
        <v>18</v>
      </c>
    </row>
    <row r="892" spans="29:31" ht="15.75">
      <c r="AC892" s="644" t="s">
        <v>1551</v>
      </c>
      <c r="AD892" s="645">
        <v>1352.638450216185</v>
      </c>
      <c r="AE892" s="645">
        <v>25</v>
      </c>
    </row>
    <row r="893" spans="29:31" ht="15.75">
      <c r="AC893" s="644" t="s">
        <v>1486</v>
      </c>
      <c r="AD893" s="645">
        <v>1333.9057373278956</v>
      </c>
      <c r="AE893" s="645">
        <v>21</v>
      </c>
    </row>
    <row r="894" spans="29:31" ht="15.75">
      <c r="AC894" s="644" t="s">
        <v>1457</v>
      </c>
      <c r="AD894" s="645">
        <v>1327.2477078286468</v>
      </c>
      <c r="AE894" s="645">
        <v>12</v>
      </c>
    </row>
    <row r="895" spans="29:31" ht="15.75">
      <c r="AC895" s="644" t="s">
        <v>1515</v>
      </c>
      <c r="AD895" s="645">
        <v>1324.8958204286894</v>
      </c>
      <c r="AE895" s="645">
        <v>27</v>
      </c>
    </row>
    <row r="896" spans="29:31" ht="15.75">
      <c r="AC896" s="644" t="s">
        <v>1458</v>
      </c>
      <c r="AD896" s="645">
        <v>1319.1311397994541</v>
      </c>
      <c r="AE896" s="645">
        <v>16</v>
      </c>
    </row>
    <row r="897" spans="29:31" ht="15.75">
      <c r="AC897" s="644" t="s">
        <v>1494</v>
      </c>
      <c r="AD897" s="645">
        <v>1315.0464567170588</v>
      </c>
      <c r="AE897" s="645">
        <v>25</v>
      </c>
    </row>
    <row r="898" spans="29:31" ht="15.75">
      <c r="AC898" s="644" t="s">
        <v>1446</v>
      </c>
      <c r="AD898" s="645">
        <v>1306.307687590077</v>
      </c>
      <c r="AE898" s="645">
        <v>20</v>
      </c>
    </row>
    <row r="899" spans="29:31" ht="15.75">
      <c r="AC899" s="644" t="s">
        <v>1524</v>
      </c>
      <c r="AD899" s="645">
        <v>1302.7506056238697</v>
      </c>
      <c r="AE899" s="645">
        <v>21</v>
      </c>
    </row>
    <row r="900" spans="29:31" ht="15.75">
      <c r="AC900" s="644" t="s">
        <v>1470</v>
      </c>
      <c r="AD900" s="645">
        <v>1289.7660298672229</v>
      </c>
      <c r="AE900" s="645">
        <v>23</v>
      </c>
    </row>
    <row r="901" spans="29:31" ht="15.75">
      <c r="AC901" s="644" t="s">
        <v>1509</v>
      </c>
      <c r="AD901" s="645">
        <v>1283.8352028456657</v>
      </c>
      <c r="AE901" s="645">
        <v>10</v>
      </c>
    </row>
    <row r="902" spans="29:31" ht="15.75">
      <c r="AC902" s="644" t="s">
        <v>1582</v>
      </c>
      <c r="AD902" s="645">
        <v>1264.1288276961764</v>
      </c>
      <c r="AE902" s="645">
        <v>15</v>
      </c>
    </row>
    <row r="903" spans="29:31" ht="15.75">
      <c r="AC903" s="644" t="s">
        <v>1762</v>
      </c>
      <c r="AD903" s="645">
        <v>1257.3009107356415</v>
      </c>
      <c r="AE903" s="645">
        <v>21</v>
      </c>
    </row>
    <row r="904" spans="29:31" ht="15.75">
      <c r="AC904" s="644" t="s">
        <v>1517</v>
      </c>
      <c r="AD904" s="645">
        <v>1253.5835392965564</v>
      </c>
      <c r="AE904" s="645">
        <v>22</v>
      </c>
    </row>
    <row r="905" spans="29:31" ht="15.75">
      <c r="AC905" s="644" t="s">
        <v>1489</v>
      </c>
      <c r="AD905" s="645">
        <v>1249.4127748305787</v>
      </c>
      <c r="AE905" s="645">
        <v>20</v>
      </c>
    </row>
    <row r="906" spans="29:31" ht="15.75">
      <c r="AC906" s="644" t="s">
        <v>1489</v>
      </c>
      <c r="AD906" s="645">
        <v>1240.0723682193127</v>
      </c>
      <c r="AE906" s="645">
        <v>22</v>
      </c>
    </row>
    <row r="907" spans="29:31" ht="15.75">
      <c r="AC907" s="644" t="s">
        <v>1866</v>
      </c>
      <c r="AD907" s="645">
        <v>1222.6579988347489</v>
      </c>
      <c r="AE907" s="645">
        <v>13</v>
      </c>
    </row>
    <row r="908" spans="29:31" ht="15.75">
      <c r="AC908" s="644" t="s">
        <v>1459</v>
      </c>
      <c r="AD908" s="645">
        <v>1218.4293643249212</v>
      </c>
      <c r="AE908" s="645">
        <v>11</v>
      </c>
    </row>
    <row r="909" spans="29:31" ht="15.75">
      <c r="AC909" s="644" t="s">
        <v>1542</v>
      </c>
      <c r="AD909" s="645">
        <v>1215.4308668854069</v>
      </c>
      <c r="AE909" s="645">
        <v>16</v>
      </c>
    </row>
    <row r="910" spans="29:31" ht="15.75">
      <c r="AC910" s="644" t="s">
        <v>1478</v>
      </c>
      <c r="AD910" s="645">
        <v>1208.8221765661895</v>
      </c>
      <c r="AE910" s="645">
        <v>22</v>
      </c>
    </row>
    <row r="911" spans="29:31" ht="15.75">
      <c r="AC911" s="644" t="s">
        <v>1867</v>
      </c>
      <c r="AD911" s="645">
        <v>1208.0770292232685</v>
      </c>
      <c r="AE911" s="645">
        <v>26</v>
      </c>
    </row>
    <row r="912" spans="29:31" ht="15.75">
      <c r="AC912" s="644" t="s">
        <v>1868</v>
      </c>
      <c r="AD912" s="645">
        <v>1206.6971267363774</v>
      </c>
      <c r="AE912" s="645">
        <v>24</v>
      </c>
    </row>
    <row r="913" spans="29:31" ht="15.75">
      <c r="AC913" s="644" t="s">
        <v>1527</v>
      </c>
      <c r="AD913" s="645">
        <v>1201.9953696605439</v>
      </c>
      <c r="AE913" s="645">
        <v>19</v>
      </c>
    </row>
    <row r="914" spans="29:31" ht="15.75">
      <c r="AC914" s="644" t="s">
        <v>1520</v>
      </c>
      <c r="AD914" s="645">
        <v>1198.5998589433011</v>
      </c>
      <c r="AE914" s="645">
        <v>24</v>
      </c>
    </row>
    <row r="915" spans="29:31" ht="15.75">
      <c r="AC915" s="644" t="s">
        <v>1533</v>
      </c>
      <c r="AD915" s="645">
        <v>1192.0313697832019</v>
      </c>
      <c r="AE915" s="645">
        <v>15</v>
      </c>
    </row>
    <row r="916" spans="29:31" ht="15.75">
      <c r="AC916" s="644" t="s">
        <v>1510</v>
      </c>
      <c r="AD916" s="645">
        <v>1179.1972033976267</v>
      </c>
      <c r="AE916" s="645">
        <v>11</v>
      </c>
    </row>
    <row r="917" spans="29:31" ht="15.75">
      <c r="AC917" s="644" t="s">
        <v>1469</v>
      </c>
      <c r="AD917" s="645">
        <v>1174.5904756063906</v>
      </c>
      <c r="AE917" s="645">
        <v>23</v>
      </c>
    </row>
    <row r="918" spans="29:31" ht="15.75">
      <c r="AC918" s="644" t="s">
        <v>1566</v>
      </c>
      <c r="AD918" s="645">
        <v>1167.1707399343779</v>
      </c>
      <c r="AE918" s="645">
        <v>15</v>
      </c>
    </row>
    <row r="919" spans="29:31" ht="15.75">
      <c r="AC919" s="644" t="s">
        <v>1526</v>
      </c>
      <c r="AD919" s="645">
        <v>1165.3471221367024</v>
      </c>
      <c r="AE919" s="645">
        <v>24</v>
      </c>
    </row>
    <row r="920" spans="29:31" ht="15.75">
      <c r="AC920" s="644" t="s">
        <v>1472</v>
      </c>
      <c r="AD920" s="645">
        <v>1159.1180889883783</v>
      </c>
      <c r="AE920" s="645">
        <v>14</v>
      </c>
    </row>
    <row r="921" spans="29:31" ht="15.75">
      <c r="AC921" s="644" t="s">
        <v>1473</v>
      </c>
      <c r="AD921" s="645">
        <v>1158.2901474962437</v>
      </c>
      <c r="AE921" s="645">
        <v>11</v>
      </c>
    </row>
    <row r="922" spans="29:31" ht="15.75">
      <c r="AC922" s="644" t="s">
        <v>1869</v>
      </c>
      <c r="AD922" s="645">
        <v>1152.5497531507774</v>
      </c>
      <c r="AE922" s="645">
        <v>25</v>
      </c>
    </row>
    <row r="923" spans="29:31" ht="15.75">
      <c r="AC923" s="644" t="s">
        <v>1553</v>
      </c>
      <c r="AD923" s="645">
        <v>1149.6120940786852</v>
      </c>
      <c r="AE923" s="645">
        <v>16</v>
      </c>
    </row>
    <row r="924" spans="29:31" ht="15.75">
      <c r="AC924" s="644" t="s">
        <v>1518</v>
      </c>
      <c r="AD924" s="645">
        <v>1135.2807334948329</v>
      </c>
      <c r="AE924" s="645">
        <v>15</v>
      </c>
    </row>
    <row r="925" spans="29:31" ht="15.75">
      <c r="AC925" s="644" t="s">
        <v>1476</v>
      </c>
      <c r="AD925" s="645">
        <v>1128.3368801937997</v>
      </c>
      <c r="AE925" s="645">
        <v>19</v>
      </c>
    </row>
    <row r="926" spans="29:31" ht="15.75">
      <c r="AC926" s="644" t="s">
        <v>1479</v>
      </c>
      <c r="AD926" s="645">
        <v>1117.4143693845638</v>
      </c>
      <c r="AE926" s="645">
        <v>18</v>
      </c>
    </row>
    <row r="927" spans="29:31" ht="15.75">
      <c r="AC927" s="644" t="s">
        <v>1546</v>
      </c>
      <c r="AD927" s="645">
        <v>1117.2338168102788</v>
      </c>
      <c r="AE927" s="645">
        <v>15</v>
      </c>
    </row>
    <row r="928" spans="29:31" ht="15.75">
      <c r="AC928" s="644" t="s">
        <v>1480</v>
      </c>
      <c r="AD928" s="645">
        <v>1115.7725920701605</v>
      </c>
      <c r="AE928" s="645">
        <v>22</v>
      </c>
    </row>
    <row r="929" spans="29:31" ht="15.75">
      <c r="AC929" s="644" t="s">
        <v>1481</v>
      </c>
      <c r="AD929" s="645">
        <v>1115.4243660114685</v>
      </c>
      <c r="AE929" s="645">
        <v>18</v>
      </c>
    </row>
    <row r="930" spans="29:31" ht="15.75">
      <c r="AC930" s="644" t="s">
        <v>1482</v>
      </c>
      <c r="AD930" s="645">
        <v>1112.4634019195976</v>
      </c>
      <c r="AE930" s="645">
        <v>24</v>
      </c>
    </row>
    <row r="931" spans="29:31" ht="15.75">
      <c r="AC931" s="644" t="s">
        <v>1870</v>
      </c>
      <c r="AD931" s="645">
        <v>1111.1928490386679</v>
      </c>
      <c r="AE931" s="645">
        <v>21</v>
      </c>
    </row>
    <row r="932" spans="29:31" ht="15.75">
      <c r="AC932" s="644" t="s">
        <v>1871</v>
      </c>
      <c r="AD932" s="645">
        <v>1097.8933488700131</v>
      </c>
      <c r="AE932" s="645">
        <v>32</v>
      </c>
    </row>
    <row r="933" spans="29:31" ht="15.75">
      <c r="AC933" s="644" t="s">
        <v>1485</v>
      </c>
      <c r="AD933" s="645">
        <v>1094.8408512465121</v>
      </c>
      <c r="AE933" s="645">
        <v>11</v>
      </c>
    </row>
    <row r="934" spans="29:31" ht="15.75">
      <c r="AC934" s="644" t="s">
        <v>1562</v>
      </c>
      <c r="AD934" s="645">
        <v>1091.4906013308391</v>
      </c>
      <c r="AE934" s="645">
        <v>11</v>
      </c>
    </row>
    <row r="935" spans="29:31" ht="15.75">
      <c r="AC935" s="644" t="s">
        <v>1636</v>
      </c>
      <c r="AD935" s="645">
        <v>1091.2080279660238</v>
      </c>
      <c r="AE935" s="645">
        <v>18</v>
      </c>
    </row>
    <row r="936" spans="29:31" ht="15.75">
      <c r="AC936" s="644" t="s">
        <v>1488</v>
      </c>
      <c r="AD936" s="645">
        <v>1089.2030296525713</v>
      </c>
      <c r="AE936" s="645">
        <v>17</v>
      </c>
    </row>
    <row r="937" spans="29:31" ht="15.75">
      <c r="AC937" s="644" t="s">
        <v>1530</v>
      </c>
      <c r="AD937" s="645">
        <v>1086.3469994787033</v>
      </c>
      <c r="AE937" s="645">
        <v>18</v>
      </c>
    </row>
    <row r="938" spans="29:31" ht="15.75">
      <c r="AC938" s="644" t="s">
        <v>1872</v>
      </c>
      <c r="AD938" s="645">
        <v>1086.0543988224831</v>
      </c>
      <c r="AE938" s="645">
        <v>22</v>
      </c>
    </row>
    <row r="939" spans="29:31" ht="15.75">
      <c r="AC939" s="644" t="s">
        <v>1573</v>
      </c>
      <c r="AD939" s="645">
        <v>1085.8084695348196</v>
      </c>
      <c r="AE939" s="645">
        <v>13</v>
      </c>
    </row>
    <row r="940" spans="29:31" ht="15.75">
      <c r="AC940" s="644" t="s">
        <v>1558</v>
      </c>
      <c r="AD940" s="645">
        <v>1083.2466039066574</v>
      </c>
      <c r="AE940" s="645">
        <v>19</v>
      </c>
    </row>
    <row r="941" spans="29:31" ht="15.75">
      <c r="AC941" s="644" t="s">
        <v>1596</v>
      </c>
      <c r="AD941" s="645">
        <v>1082.1248965073137</v>
      </c>
      <c r="AE941" s="645">
        <v>18</v>
      </c>
    </row>
    <row r="942" spans="29:31" ht="15.75">
      <c r="AC942" s="644" t="s">
        <v>1491</v>
      </c>
      <c r="AD942" s="645">
        <v>1071.2489650731347</v>
      </c>
      <c r="AE942" s="645">
        <v>21</v>
      </c>
    </row>
    <row r="943" spans="29:31" ht="15.75">
      <c r="AC943" s="644" t="s">
        <v>1564</v>
      </c>
      <c r="AD943" s="645">
        <v>1066.8549569163779</v>
      </c>
      <c r="AE943" s="645">
        <v>26</v>
      </c>
    </row>
    <row r="944" spans="29:31" ht="15.75">
      <c r="AC944" s="644" t="s">
        <v>1632</v>
      </c>
      <c r="AD944" s="645">
        <v>1065.9133421238232</v>
      </c>
      <c r="AE944" s="645">
        <v>9</v>
      </c>
    </row>
    <row r="945" spans="29:31" ht="15.75">
      <c r="AC945" s="644" t="s">
        <v>1619</v>
      </c>
      <c r="AD945" s="645">
        <v>1062.9244733372175</v>
      </c>
      <c r="AE945" s="645">
        <v>12</v>
      </c>
    </row>
    <row r="946" spans="29:31" ht="15.75">
      <c r="AC946" s="644" t="s">
        <v>1497</v>
      </c>
      <c r="AD946" s="645">
        <v>1057.7053754867989</v>
      </c>
      <c r="AE946" s="645">
        <v>22</v>
      </c>
    </row>
    <row r="947" spans="29:31" ht="15.75">
      <c r="AC947" s="644" t="s">
        <v>1592</v>
      </c>
      <c r="AD947" s="645">
        <v>1054.5521449817545</v>
      </c>
      <c r="AE947" s="645">
        <v>14</v>
      </c>
    </row>
    <row r="948" spans="29:31" ht="15.75">
      <c r="AC948" s="644" t="s">
        <v>1595</v>
      </c>
      <c r="AD948" s="645">
        <v>1049.7550673085771</v>
      </c>
      <c r="AE948" s="645">
        <v>10</v>
      </c>
    </row>
    <row r="949" spans="29:31" ht="15.75">
      <c r="AC949" s="644" t="s">
        <v>1554</v>
      </c>
      <c r="AD949" s="645">
        <v>1043.5808776179817</v>
      </c>
      <c r="AE949" s="645">
        <v>14</v>
      </c>
    </row>
    <row r="950" spans="29:31" ht="15.75">
      <c r="AC950" s="644" t="s">
        <v>1585</v>
      </c>
      <c r="AD950" s="645">
        <v>1037.2161233939469</v>
      </c>
      <c r="AE950" s="645">
        <v>22</v>
      </c>
    </row>
    <row r="951" spans="29:31" ht="15.75">
      <c r="AC951" s="644" t="s">
        <v>1540</v>
      </c>
      <c r="AD951" s="645">
        <v>1032.4714360185214</v>
      </c>
      <c r="AE951" s="645">
        <v>13</v>
      </c>
    </row>
    <row r="952" spans="29:31" ht="15.75">
      <c r="AC952" s="644" t="s">
        <v>1511</v>
      </c>
      <c r="AD952" s="645">
        <v>1030.4945263868021</v>
      </c>
      <c r="AE952" s="645">
        <v>19</v>
      </c>
    </row>
    <row r="953" spans="29:31" ht="15.75">
      <c r="AC953" s="644" t="s">
        <v>1873</v>
      </c>
      <c r="AD953" s="645">
        <v>1028.6151911931559</v>
      </c>
      <c r="AE953" s="645">
        <v>22</v>
      </c>
    </row>
    <row r="954" spans="29:31" ht="15.75">
      <c r="AC954" s="644" t="s">
        <v>1522</v>
      </c>
      <c r="AD954" s="645">
        <v>1028.0530005212966</v>
      </c>
      <c r="AE954" s="645">
        <v>11</v>
      </c>
    </row>
    <row r="955" spans="29:31" ht="15.75">
      <c r="AC955" s="644" t="s">
        <v>1629</v>
      </c>
      <c r="AD955" s="645">
        <v>1023.6030787157708</v>
      </c>
      <c r="AE955" s="645">
        <v>15</v>
      </c>
    </row>
    <row r="956" spans="29:31" ht="15.75">
      <c r="AC956" s="644" t="s">
        <v>1874</v>
      </c>
      <c r="AD956" s="645">
        <v>1023.1401980926682</v>
      </c>
      <c r="AE956" s="645">
        <v>12</v>
      </c>
    </row>
    <row r="957" spans="29:31" ht="15.75">
      <c r="AC957" s="644" t="s">
        <v>1505</v>
      </c>
      <c r="AD957" s="645">
        <v>1021.5756033240318</v>
      </c>
      <c r="AE957" s="645">
        <v>13</v>
      </c>
    </row>
    <row r="958" spans="29:31" ht="15.75">
      <c r="AC958" s="644" t="s">
        <v>1608</v>
      </c>
      <c r="AD958" s="645">
        <v>1019.7487657538868</v>
      </c>
      <c r="AE958" s="645">
        <v>13</v>
      </c>
    </row>
    <row r="959" spans="29:31" ht="15.75">
      <c r="AC959" s="644" t="s">
        <v>1545</v>
      </c>
      <c r="AD959" s="645">
        <v>1017.9982214590169</v>
      </c>
      <c r="AE959" s="645">
        <v>19</v>
      </c>
    </row>
    <row r="960" spans="29:31" ht="15.75">
      <c r="AC960" s="644" t="s">
        <v>1571</v>
      </c>
      <c r="AD960" s="645">
        <v>1017.1414553371559</v>
      </c>
      <c r="AE960" s="645">
        <v>24</v>
      </c>
    </row>
    <row r="961" spans="29:31" ht="15.75">
      <c r="AC961" s="644" t="s">
        <v>1507</v>
      </c>
      <c r="AD961" s="645">
        <v>1017.0280580172338</v>
      </c>
      <c r="AE961" s="645">
        <v>20</v>
      </c>
    </row>
    <row r="962" spans="29:31" ht="15.75">
      <c r="AC962" s="644" t="s">
        <v>1552</v>
      </c>
      <c r="AD962" s="645">
        <v>1009.599904940051</v>
      </c>
      <c r="AE962" s="645">
        <v>9</v>
      </c>
    </row>
    <row r="963" spans="29:31" ht="15.75">
      <c r="AC963" s="644" t="s">
        <v>1584</v>
      </c>
      <c r="AD963" s="645">
        <v>1005.2474318481495</v>
      </c>
      <c r="AE963" s="645">
        <v>16</v>
      </c>
    </row>
    <row r="964" spans="29:31" ht="15.75">
      <c r="AC964" s="644" t="s">
        <v>1534</v>
      </c>
      <c r="AD964" s="645">
        <v>1003.1662935819203</v>
      </c>
      <c r="AE964" s="645">
        <v>19</v>
      </c>
    </row>
    <row r="965" spans="29:31" ht="15.75">
      <c r="AC965" s="644" t="s">
        <v>1577</v>
      </c>
      <c r="AD965" s="645">
        <v>997.10673699058589</v>
      </c>
      <c r="AE965" s="645">
        <v>11</v>
      </c>
    </row>
    <row r="966" spans="29:31" ht="15.75">
      <c r="AC966" s="644" t="s">
        <v>1555</v>
      </c>
      <c r="AD966" s="645">
        <v>984.57728987151575</v>
      </c>
      <c r="AE966" s="645">
        <v>17</v>
      </c>
    </row>
    <row r="967" spans="29:31" ht="15.75">
      <c r="AC967" s="644" t="s">
        <v>1514</v>
      </c>
      <c r="AD967" s="645">
        <v>976.97096071877604</v>
      </c>
      <c r="AE967" s="645">
        <v>18</v>
      </c>
    </row>
    <row r="968" spans="29:31" ht="15.75">
      <c r="AC968" s="644" t="s">
        <v>1560</v>
      </c>
      <c r="AD968" s="645">
        <v>972.26794639845457</v>
      </c>
      <c r="AE968" s="645">
        <v>20</v>
      </c>
    </row>
    <row r="969" spans="29:31" ht="15.75">
      <c r="AC969" s="644" t="s">
        <v>1561</v>
      </c>
      <c r="AD969" s="645">
        <v>954.87849191990415</v>
      </c>
      <c r="AE969" s="645">
        <v>13</v>
      </c>
    </row>
    <row r="970" spans="29:31" ht="15.75">
      <c r="AC970" s="644" t="s">
        <v>1538</v>
      </c>
      <c r="AD970" s="645">
        <v>951.31964674496351</v>
      </c>
      <c r="AE970" s="645">
        <v>18</v>
      </c>
    </row>
    <row r="971" spans="29:31" ht="15.75">
      <c r="AC971" s="644" t="s">
        <v>1594</v>
      </c>
      <c r="AD971" s="645">
        <v>948.71822391217711</v>
      </c>
      <c r="AE971" s="645">
        <v>17</v>
      </c>
    </row>
    <row r="972" spans="29:31" ht="15.75">
      <c r="AC972" s="644" t="s">
        <v>1521</v>
      </c>
      <c r="AD972" s="645">
        <v>944.60488792125386</v>
      </c>
      <c r="AE972" s="645">
        <v>19</v>
      </c>
    </row>
    <row r="973" spans="29:31" ht="15.75">
      <c r="AC973" s="644" t="s">
        <v>1602</v>
      </c>
      <c r="AD973" s="645">
        <v>944.34417834473061</v>
      </c>
      <c r="AE973" s="645">
        <v>13</v>
      </c>
    </row>
    <row r="974" spans="29:31" ht="15.75">
      <c r="AC974" s="644" t="s">
        <v>1549</v>
      </c>
      <c r="AD974" s="645">
        <v>936.92588390420406</v>
      </c>
      <c r="AE974" s="645">
        <v>9</v>
      </c>
    </row>
    <row r="975" spans="29:31" ht="15.75">
      <c r="AC975" s="644" t="s">
        <v>1600</v>
      </c>
      <c r="AD975" s="645">
        <v>933.53163043144968</v>
      </c>
      <c r="AE975" s="645">
        <v>18</v>
      </c>
    </row>
    <row r="976" spans="29:31" ht="15.75">
      <c r="AC976" s="644" t="s">
        <v>1591</v>
      </c>
      <c r="AD976" s="645">
        <v>933.12072613535338</v>
      </c>
      <c r="AE976" s="645">
        <v>17</v>
      </c>
    </row>
    <row r="977" spans="29:31" ht="15.75">
      <c r="AC977" s="644" t="s">
        <v>1589</v>
      </c>
      <c r="AD977" s="645">
        <v>932.68222378951896</v>
      </c>
      <c r="AE977" s="645">
        <v>9</v>
      </c>
    </row>
    <row r="978" spans="29:31" ht="15.75">
      <c r="AC978" s="644" t="s">
        <v>1576</v>
      </c>
      <c r="AD978" s="645">
        <v>931.65021005182325</v>
      </c>
      <c r="AE978" s="645">
        <v>12</v>
      </c>
    </row>
    <row r="979" spans="29:31" ht="15.75">
      <c r="AC979" s="644" t="s">
        <v>1536</v>
      </c>
      <c r="AD979" s="645">
        <v>929.6152709208551</v>
      </c>
      <c r="AE979" s="645">
        <v>10</v>
      </c>
    </row>
    <row r="980" spans="29:31" ht="15.75">
      <c r="AC980" s="644" t="s">
        <v>1588</v>
      </c>
      <c r="AD980" s="645">
        <v>928.31832817147608</v>
      </c>
      <c r="AE980" s="645">
        <v>16</v>
      </c>
    </row>
    <row r="981" spans="29:31" ht="15.75">
      <c r="AC981" s="644" t="s">
        <v>1525</v>
      </c>
      <c r="AD981" s="645">
        <v>920.35521756462549</v>
      </c>
      <c r="AE981" s="645">
        <v>20</v>
      </c>
    </row>
    <row r="982" spans="29:31" ht="15.75">
      <c r="AC982" s="644" t="s">
        <v>1583</v>
      </c>
      <c r="AD982" s="645">
        <v>917.78954953849939</v>
      </c>
      <c r="AE982" s="645">
        <v>13</v>
      </c>
    </row>
    <row r="983" spans="29:31" ht="15.75">
      <c r="AC983" s="644" t="s">
        <v>1652</v>
      </c>
      <c r="AD983" s="645">
        <v>913.80209131888046</v>
      </c>
      <c r="AE983" s="645">
        <v>17</v>
      </c>
    </row>
    <row r="984" spans="29:31" ht="15.75">
      <c r="AC984" s="644" t="s">
        <v>1541</v>
      </c>
      <c r="AD984" s="645">
        <v>911.25172487810858</v>
      </c>
      <c r="AE984" s="645">
        <v>16</v>
      </c>
    </row>
    <row r="985" spans="29:31" ht="15.75">
      <c r="AC985" s="644" t="s">
        <v>1630</v>
      </c>
      <c r="AD985" s="645">
        <v>907.03136978320197</v>
      </c>
      <c r="AE985" s="645">
        <v>17</v>
      </c>
    </row>
    <row r="986" spans="29:31" ht="15.75">
      <c r="AC986" s="644" t="s">
        <v>1604</v>
      </c>
      <c r="AD986" s="645">
        <v>882.75811842629787</v>
      </c>
      <c r="AE986" s="645">
        <v>7</v>
      </c>
    </row>
    <row r="987" spans="29:31" ht="15.75">
      <c r="AC987" s="644" t="s">
        <v>1532</v>
      </c>
      <c r="AD987" s="645">
        <v>881.91101162184555</v>
      </c>
      <c r="AE987" s="645">
        <v>17</v>
      </c>
    </row>
    <row r="988" spans="29:31" ht="15.75">
      <c r="AC988" s="644" t="s">
        <v>1581</v>
      </c>
      <c r="AD988" s="645">
        <v>881.49198123332633</v>
      </c>
      <c r="AE988" s="645">
        <v>16</v>
      </c>
    </row>
    <row r="989" spans="29:31" ht="15.75">
      <c r="AC989" s="644" t="s">
        <v>1875</v>
      </c>
      <c r="AD989" s="645">
        <v>871.20718469228177</v>
      </c>
      <c r="AE989" s="645">
        <v>9</v>
      </c>
    </row>
    <row r="990" spans="29:31" ht="15.75">
      <c r="AC990" s="644" t="s">
        <v>1616</v>
      </c>
      <c r="AD990" s="645">
        <v>869.34454631872677</v>
      </c>
      <c r="AE990" s="645">
        <v>9</v>
      </c>
    </row>
    <row r="991" spans="29:31" ht="15.75">
      <c r="AC991" s="644" t="s">
        <v>1535</v>
      </c>
      <c r="AD991" s="645">
        <v>867.49869675876232</v>
      </c>
      <c r="AE991" s="645">
        <v>10</v>
      </c>
    </row>
    <row r="992" spans="29:31" ht="15.75">
      <c r="AC992" s="644" t="s">
        <v>1615</v>
      </c>
      <c r="AD992" s="645">
        <v>859.20072981509315</v>
      </c>
      <c r="AE992" s="645">
        <v>17</v>
      </c>
    </row>
    <row r="993" spans="29:31" ht="15.75">
      <c r="AC993" s="644" t="s">
        <v>1537</v>
      </c>
      <c r="AD993" s="645">
        <v>849.40664193063697</v>
      </c>
      <c r="AE993" s="645">
        <v>16</v>
      </c>
    </row>
    <row r="994" spans="29:31" ht="15.75">
      <c r="AC994" s="644" t="s">
        <v>1539</v>
      </c>
      <c r="AD994" s="645">
        <v>844.13124405875328</v>
      </c>
      <c r="AE994" s="645">
        <v>20</v>
      </c>
    </row>
    <row r="995" spans="29:31" ht="15.75">
      <c r="AC995" s="644" t="s">
        <v>1707</v>
      </c>
      <c r="AD995" s="645">
        <v>841.66416239919056</v>
      </c>
      <c r="AE995" s="645">
        <v>10</v>
      </c>
    </row>
    <row r="996" spans="29:31" ht="15.75">
      <c r="AC996" s="644" t="s">
        <v>1876</v>
      </c>
      <c r="AD996" s="645">
        <v>839.90064702094389</v>
      </c>
      <c r="AE996" s="645">
        <v>9</v>
      </c>
    </row>
    <row r="997" spans="29:31" ht="15.75">
      <c r="AC997" s="644" t="s">
        <v>1634</v>
      </c>
      <c r="AD997" s="645">
        <v>839.33672687130127</v>
      </c>
      <c r="AE997" s="645">
        <v>16</v>
      </c>
    </row>
    <row r="998" spans="29:31" ht="15.75">
      <c r="AC998" s="644" t="s">
        <v>1543</v>
      </c>
      <c r="AD998" s="645">
        <v>836.33885498758093</v>
      </c>
      <c r="AE998" s="645">
        <v>9</v>
      </c>
    </row>
    <row r="999" spans="29:31" ht="15.75">
      <c r="AC999" s="644" t="s">
        <v>1760</v>
      </c>
      <c r="AD999" s="645">
        <v>835.23669927325136</v>
      </c>
      <c r="AE999" s="645">
        <v>5</v>
      </c>
    </row>
    <row r="1000" spans="29:31" ht="15.75">
      <c r="AC1000" s="644" t="s">
        <v>1544</v>
      </c>
      <c r="AD1000" s="645">
        <v>834.96488914783367</v>
      </c>
      <c r="AE1000" s="645">
        <v>12</v>
      </c>
    </row>
    <row r="1001" spans="29:31" ht="15.75">
      <c r="AC1001" s="644" t="s">
        <v>1618</v>
      </c>
      <c r="AD1001" s="645">
        <v>829.30912882156326</v>
      </c>
      <c r="AE1001" s="645">
        <v>16</v>
      </c>
    </row>
    <row r="1002" spans="29:31" ht="15.75">
      <c r="AC1002" s="644" t="s">
        <v>1574</v>
      </c>
      <c r="AD1002" s="645">
        <v>828.4993407132564</v>
      </c>
      <c r="AE1002" s="645">
        <v>16</v>
      </c>
    </row>
    <row r="1003" spans="29:31" ht="15.75">
      <c r="AC1003" s="644" t="s">
        <v>1659</v>
      </c>
      <c r="AD1003" s="645">
        <v>820.04281990739332</v>
      </c>
      <c r="AE1003" s="645">
        <v>11</v>
      </c>
    </row>
    <row r="1004" spans="29:31" ht="15.75">
      <c r="AC1004" s="644" t="s">
        <v>1548</v>
      </c>
      <c r="AD1004" s="645">
        <v>819.67201251111589</v>
      </c>
      <c r="AE1004" s="645">
        <v>17</v>
      </c>
    </row>
    <row r="1005" spans="29:31" ht="15.75">
      <c r="AC1005" s="644" t="s">
        <v>1550</v>
      </c>
      <c r="AD1005" s="645">
        <v>812.96939682929076</v>
      </c>
      <c r="AE1005" s="645">
        <v>16</v>
      </c>
    </row>
    <row r="1006" spans="29:31" ht="15.75">
      <c r="AC1006" s="644" t="s">
        <v>1664</v>
      </c>
      <c r="AD1006" s="645">
        <v>807.08963233264853</v>
      </c>
      <c r="AE1006" s="645">
        <v>16</v>
      </c>
    </row>
    <row r="1007" spans="29:31" ht="15.75">
      <c r="AC1007" s="644" t="s">
        <v>1719</v>
      </c>
      <c r="AD1007" s="645">
        <v>802.93526724111507</v>
      </c>
      <c r="AE1007" s="645">
        <v>17</v>
      </c>
    </row>
    <row r="1008" spans="29:31" ht="15.75">
      <c r="AC1008" s="644" t="s">
        <v>1683</v>
      </c>
      <c r="AD1008" s="645">
        <v>801.25460734108128</v>
      </c>
      <c r="AE1008" s="645">
        <v>17</v>
      </c>
    </row>
    <row r="1009" spans="29:31" ht="15.75">
      <c r="AC1009" s="644" t="s">
        <v>1715</v>
      </c>
      <c r="AD1009" s="645">
        <v>798.2133022599736</v>
      </c>
      <c r="AE1009" s="645">
        <v>10</v>
      </c>
    </row>
    <row r="1010" spans="29:31" ht="15.75">
      <c r="AC1010" s="644" t="s">
        <v>1586</v>
      </c>
      <c r="AD1010" s="645">
        <v>795.48631341164048</v>
      </c>
      <c r="AE1010" s="645">
        <v>0</v>
      </c>
    </row>
    <row r="1011" spans="29:31" ht="15.75">
      <c r="AC1011" s="644" t="s">
        <v>1767</v>
      </c>
      <c r="AD1011" s="645">
        <v>790.74162092545464</v>
      </c>
      <c r="AE1011" s="645">
        <v>7</v>
      </c>
    </row>
    <row r="1012" spans="29:31" ht="15.75">
      <c r="AC1012" s="644" t="s">
        <v>1567</v>
      </c>
      <c r="AD1012" s="645">
        <v>783.78461255404613</v>
      </c>
      <c r="AE1012" s="645">
        <v>11</v>
      </c>
    </row>
    <row r="1013" spans="29:31" ht="15.75">
      <c r="AC1013" s="644" t="s">
        <v>1706</v>
      </c>
      <c r="AD1013" s="645">
        <v>782.97838152770544</v>
      </c>
      <c r="AE1013" s="645">
        <v>13</v>
      </c>
    </row>
    <row r="1014" spans="29:31" ht="15.75">
      <c r="AC1014" s="644" t="s">
        <v>996</v>
      </c>
      <c r="AD1014" s="645">
        <v>781.78273179807434</v>
      </c>
      <c r="AE1014" s="645">
        <v>0</v>
      </c>
    </row>
    <row r="1015" spans="29:31" ht="15.75">
      <c r="AC1015" s="644" t="s">
        <v>1593</v>
      </c>
      <c r="AD1015" s="645">
        <v>777.58793045291486</v>
      </c>
      <c r="AE1015" s="645">
        <v>12</v>
      </c>
    </row>
    <row r="1016" spans="29:31" ht="15.75">
      <c r="AC1016" s="644" t="s">
        <v>1559</v>
      </c>
      <c r="AD1016" s="645">
        <v>776.03232038269289</v>
      </c>
      <c r="AE1016" s="645">
        <v>10</v>
      </c>
    </row>
    <row r="1017" spans="29:31" ht="15.75">
      <c r="AC1017" s="644" t="s">
        <v>1606</v>
      </c>
      <c r="AD1017" s="645">
        <v>765.16108061696968</v>
      </c>
      <c r="AE1017" s="645">
        <v>6</v>
      </c>
    </row>
    <row r="1018" spans="29:31" ht="15.75">
      <c r="AC1018" s="644" t="s">
        <v>1565</v>
      </c>
      <c r="AD1018" s="645">
        <v>751.9337033516299</v>
      </c>
      <c r="AE1018" s="645">
        <v>16</v>
      </c>
    </row>
    <row r="1019" spans="29:31" ht="15.75">
      <c r="AC1019" s="644" t="s">
        <v>1877</v>
      </c>
      <c r="AD1019" s="645">
        <v>751.1499187390757</v>
      </c>
      <c r="AE1019" s="645">
        <v>13</v>
      </c>
    </row>
    <row r="1020" spans="29:31" ht="15.75">
      <c r="AC1020" s="644" t="s">
        <v>1635</v>
      </c>
      <c r="AD1020" s="645">
        <v>749.39353285701145</v>
      </c>
      <c r="AE1020" s="645">
        <v>9</v>
      </c>
    </row>
    <row r="1021" spans="29:31" ht="15.75">
      <c r="AC1021" s="644" t="s">
        <v>1688</v>
      </c>
      <c r="AD1021" s="645">
        <v>748.57433074729386</v>
      </c>
      <c r="AE1021" s="645">
        <v>8</v>
      </c>
    </row>
    <row r="1022" spans="29:31" ht="15.75">
      <c r="AC1022" s="644" t="s">
        <v>1568</v>
      </c>
      <c r="AD1022" s="645">
        <v>735.50180613903296</v>
      </c>
      <c r="AE1022" s="645">
        <v>6</v>
      </c>
    </row>
    <row r="1023" spans="29:31" ht="15.75">
      <c r="AC1023" s="644" t="s">
        <v>1570</v>
      </c>
      <c r="AD1023" s="645">
        <v>729.46490448008342</v>
      </c>
      <c r="AE1023" s="645">
        <v>14</v>
      </c>
    </row>
    <row r="1024" spans="29:31" ht="15.75">
      <c r="AC1024" s="644" t="s">
        <v>1572</v>
      </c>
      <c r="AD1024" s="645">
        <v>723.59249946337138</v>
      </c>
      <c r="AE1024" s="645">
        <v>14</v>
      </c>
    </row>
    <row r="1025" spans="29:31" ht="15.75">
      <c r="AC1025" s="644" t="s">
        <v>1603</v>
      </c>
      <c r="AD1025" s="645">
        <v>720.10280273527337</v>
      </c>
      <c r="AE1025" s="645">
        <v>9</v>
      </c>
    </row>
    <row r="1026" spans="29:31" ht="15.75">
      <c r="AC1026" s="644" t="s">
        <v>1878</v>
      </c>
      <c r="AD1026" s="645">
        <v>716.01760142283274</v>
      </c>
      <c r="AE1026" s="645">
        <v>13</v>
      </c>
    </row>
    <row r="1027" spans="29:31" ht="15.75">
      <c r="AC1027" s="644" t="s">
        <v>1879</v>
      </c>
      <c r="AD1027" s="645">
        <v>715.88697065407371</v>
      </c>
      <c r="AE1027" s="645">
        <v>15</v>
      </c>
    </row>
    <row r="1028" spans="29:31" ht="15.75">
      <c r="AC1028" s="644" t="s">
        <v>1575</v>
      </c>
      <c r="AD1028" s="645">
        <v>714.51366103462033</v>
      </c>
      <c r="AE1028" s="645">
        <v>6</v>
      </c>
    </row>
    <row r="1029" spans="29:31" ht="15.75">
      <c r="AC1029" s="644" t="s">
        <v>1578</v>
      </c>
      <c r="AD1029" s="645">
        <v>712.51899665756946</v>
      </c>
      <c r="AE1029" s="645">
        <v>14</v>
      </c>
    </row>
    <row r="1030" spans="29:31" ht="15.75">
      <c r="AC1030" s="644" t="s">
        <v>1579</v>
      </c>
      <c r="AD1030" s="645">
        <v>711.61976020361237</v>
      </c>
      <c r="AE1030" s="645">
        <v>14</v>
      </c>
    </row>
    <row r="1031" spans="29:31" ht="15.75">
      <c r="AC1031" s="644" t="s">
        <v>1580</v>
      </c>
      <c r="AD1031" s="645">
        <v>710.82788016313521</v>
      </c>
      <c r="AE1031" s="645">
        <v>8</v>
      </c>
    </row>
    <row r="1032" spans="29:31" ht="15.75">
      <c r="AC1032" s="644" t="s">
        <v>1601</v>
      </c>
      <c r="AD1032" s="645">
        <v>707.77820367360698</v>
      </c>
      <c r="AE1032" s="645">
        <v>6</v>
      </c>
    </row>
    <row r="1033" spans="29:31" ht="15.75">
      <c r="AC1033" s="644" t="s">
        <v>1609</v>
      </c>
      <c r="AD1033" s="645">
        <v>706.52954524546942</v>
      </c>
      <c r="AE1033" s="645">
        <v>13</v>
      </c>
    </row>
    <row r="1034" spans="29:31" ht="15.75">
      <c r="AC1034" s="644" t="s">
        <v>1607</v>
      </c>
      <c r="AD1034" s="645">
        <v>702.32952071386944</v>
      </c>
      <c r="AE1034" s="645">
        <v>6</v>
      </c>
    </row>
    <row r="1035" spans="29:31" ht="15.75">
      <c r="AC1035" s="644" t="s">
        <v>1587</v>
      </c>
      <c r="AD1035" s="645">
        <v>694.66437705068847</v>
      </c>
      <c r="AE1035" s="645">
        <v>13</v>
      </c>
    </row>
    <row r="1036" spans="29:31" ht="15.75">
      <c r="AC1036" s="644" t="s">
        <v>1656</v>
      </c>
      <c r="AD1036" s="645">
        <v>669.71842323142494</v>
      </c>
      <c r="AE1036" s="645">
        <v>7</v>
      </c>
    </row>
    <row r="1037" spans="29:31" ht="15.75">
      <c r="AC1037" s="644" t="s">
        <v>1590</v>
      </c>
      <c r="AD1037" s="645">
        <v>669.5259728312534</v>
      </c>
      <c r="AE1037" s="645">
        <v>9</v>
      </c>
    </row>
    <row r="1038" spans="29:31" ht="15.75">
      <c r="AC1038" s="644" t="s">
        <v>1642</v>
      </c>
      <c r="AD1038" s="645">
        <v>669.40602864064283</v>
      </c>
      <c r="AE1038" s="645">
        <v>8</v>
      </c>
    </row>
    <row r="1039" spans="29:31" ht="15.75">
      <c r="AC1039" s="644" t="s">
        <v>1621</v>
      </c>
      <c r="AD1039" s="645">
        <v>666.57870043850244</v>
      </c>
      <c r="AE1039" s="645">
        <v>10</v>
      </c>
    </row>
    <row r="1040" spans="29:31" ht="15.75">
      <c r="AC1040" s="644" t="s">
        <v>1880</v>
      </c>
      <c r="AD1040" s="645">
        <v>663.21425285946464</v>
      </c>
      <c r="AE1040" s="645">
        <v>13</v>
      </c>
    </row>
    <row r="1041" spans="29:31" ht="15.75">
      <c r="AC1041" s="644" t="s">
        <v>1605</v>
      </c>
      <c r="AD1041" s="645">
        <v>656.65572966177058</v>
      </c>
      <c r="AE1041" s="645">
        <v>9</v>
      </c>
    </row>
    <row r="1042" spans="29:31" ht="15.75">
      <c r="AC1042" s="644" t="s">
        <v>1597</v>
      </c>
      <c r="AD1042" s="645">
        <v>653.84391769648278</v>
      </c>
      <c r="AE1042" s="645">
        <v>8</v>
      </c>
    </row>
    <row r="1043" spans="29:31" ht="15.75">
      <c r="AC1043" s="644" t="s">
        <v>1658</v>
      </c>
      <c r="AD1043" s="645">
        <v>646.60022691729785</v>
      </c>
      <c r="AE1043" s="645">
        <v>11</v>
      </c>
    </row>
    <row r="1044" spans="29:31" ht="15.75">
      <c r="AC1044" s="644" t="s">
        <v>1881</v>
      </c>
      <c r="AD1044" s="645">
        <v>645.48771886786676</v>
      </c>
      <c r="AE1044" s="645">
        <v>5</v>
      </c>
    </row>
    <row r="1045" spans="29:31" ht="15.75">
      <c r="AC1045" s="644" t="s">
        <v>1614</v>
      </c>
      <c r="AD1045" s="645">
        <v>639.90946613106019</v>
      </c>
      <c r="AE1045" s="645">
        <v>8</v>
      </c>
    </row>
    <row r="1046" spans="29:31" ht="15.75">
      <c r="AC1046" s="644" t="s">
        <v>1685</v>
      </c>
      <c r="AD1046" s="645">
        <v>639.14047407316559</v>
      </c>
      <c r="AE1046" s="645">
        <v>9</v>
      </c>
    </row>
    <row r="1047" spans="29:31" ht="15.75">
      <c r="AC1047" s="644" t="s">
        <v>1882</v>
      </c>
      <c r="AD1047" s="645">
        <v>627.19511821164645</v>
      </c>
      <c r="AE1047" s="645">
        <v>13</v>
      </c>
    </row>
    <row r="1048" spans="29:31" ht="15.75">
      <c r="AC1048" s="644" t="s">
        <v>1883</v>
      </c>
      <c r="AD1048" s="645">
        <v>626.06022507742784</v>
      </c>
      <c r="AE1048" s="645">
        <v>9</v>
      </c>
    </row>
    <row r="1049" spans="29:31" ht="15.75">
      <c r="AC1049" s="644" t="s">
        <v>1884</v>
      </c>
      <c r="AD1049" s="645">
        <v>623.02965257121832</v>
      </c>
      <c r="AE1049" s="645">
        <v>11</v>
      </c>
    </row>
    <row r="1050" spans="29:31" ht="15.75">
      <c r="AC1050" s="644" t="s">
        <v>1885</v>
      </c>
      <c r="AD1050" s="645">
        <v>614.70822728527185</v>
      </c>
      <c r="AE1050" s="645">
        <v>6</v>
      </c>
    </row>
    <row r="1051" spans="29:31" ht="15.75">
      <c r="AC1051" s="644" t="s">
        <v>1886</v>
      </c>
      <c r="AD1051" s="645">
        <v>610.60623715924066</v>
      </c>
      <c r="AE1051" s="645">
        <v>11</v>
      </c>
    </row>
    <row r="1052" spans="29:31" ht="15.75">
      <c r="AC1052" s="644" t="s">
        <v>1786</v>
      </c>
      <c r="AD1052" s="645">
        <v>604.09064426113889</v>
      </c>
      <c r="AE1052" s="645">
        <v>6</v>
      </c>
    </row>
    <row r="1053" spans="29:31" ht="15.75">
      <c r="AC1053" s="644" t="s">
        <v>1887</v>
      </c>
      <c r="AD1053" s="645">
        <v>600.64579436386498</v>
      </c>
      <c r="AE1053" s="645">
        <v>10</v>
      </c>
    </row>
    <row r="1054" spans="29:31" ht="15.75">
      <c r="AC1054" s="644" t="s">
        <v>1888</v>
      </c>
      <c r="AD1054" s="645">
        <v>593.14341786513762</v>
      </c>
      <c r="AE1054" s="645">
        <v>5</v>
      </c>
    </row>
    <row r="1055" spans="29:31" ht="15.75">
      <c r="AC1055" s="644" t="s">
        <v>1610</v>
      </c>
      <c r="AD1055" s="645">
        <v>583.22130569439764</v>
      </c>
      <c r="AE1055" s="645">
        <v>12</v>
      </c>
    </row>
    <row r="1056" spans="29:31" ht="15.75">
      <c r="AC1056" s="644" t="s">
        <v>1889</v>
      </c>
      <c r="AD1056" s="645">
        <v>577.71917451166792</v>
      </c>
      <c r="AE1056" s="645">
        <v>4</v>
      </c>
    </row>
    <row r="1057" spans="29:31" ht="15.75">
      <c r="AC1057" s="644" t="s">
        <v>1611</v>
      </c>
      <c r="AD1057" s="645">
        <v>573.91303547882626</v>
      </c>
      <c r="AE1057" s="645">
        <v>11</v>
      </c>
    </row>
    <row r="1058" spans="29:31" ht="15.75">
      <c r="AC1058" s="644" t="s">
        <v>1613</v>
      </c>
      <c r="AD1058" s="645">
        <v>571.16580294992491</v>
      </c>
      <c r="AE1058" s="645">
        <v>12</v>
      </c>
    </row>
    <row r="1059" spans="29:31" ht="15.75">
      <c r="AC1059" s="644" t="s">
        <v>1661</v>
      </c>
      <c r="AD1059" s="645">
        <v>558.4814939744258</v>
      </c>
      <c r="AE1059" s="645">
        <v>6</v>
      </c>
    </row>
    <row r="1060" spans="29:31" ht="15.75">
      <c r="AC1060" s="644" t="s">
        <v>1617</v>
      </c>
      <c r="AD1060" s="645">
        <v>554.02532887675943</v>
      </c>
      <c r="AE1060" s="645">
        <v>6</v>
      </c>
    </row>
    <row r="1061" spans="29:31" ht="15.75">
      <c r="AC1061" s="644" t="s">
        <v>1890</v>
      </c>
      <c r="AD1061" s="645">
        <v>553.79074545398794</v>
      </c>
      <c r="AE1061" s="645">
        <v>11</v>
      </c>
    </row>
    <row r="1062" spans="29:31" ht="15.75">
      <c r="AC1062" s="644" t="s">
        <v>1660</v>
      </c>
      <c r="AD1062" s="645">
        <v>551.21271963447907</v>
      </c>
      <c r="AE1062" s="645">
        <v>11</v>
      </c>
    </row>
    <row r="1063" spans="29:31" ht="15.75">
      <c r="AC1063" s="644" t="s">
        <v>1891</v>
      </c>
      <c r="AD1063" s="645">
        <v>549.50783477967559</v>
      </c>
      <c r="AE1063" s="645">
        <v>8</v>
      </c>
    </row>
    <row r="1064" spans="29:31" ht="15.75">
      <c r="AC1064" s="644" t="s">
        <v>1633</v>
      </c>
      <c r="AD1064" s="645">
        <v>539.69507221489687</v>
      </c>
      <c r="AE1064" s="645">
        <v>9</v>
      </c>
    </row>
    <row r="1065" spans="29:31" ht="15.75">
      <c r="AC1065" s="644" t="s">
        <v>1892</v>
      </c>
      <c r="AD1065" s="645">
        <v>538.53362362393057</v>
      </c>
      <c r="AE1065" s="645">
        <v>11</v>
      </c>
    </row>
    <row r="1066" spans="29:31" ht="15.75">
      <c r="AC1066" s="644" t="s">
        <v>848</v>
      </c>
      <c r="AD1066" s="645">
        <v>537.35291772714731</v>
      </c>
      <c r="AE1066" s="645">
        <v>4</v>
      </c>
    </row>
    <row r="1067" spans="29:31" ht="15.75">
      <c r="AC1067" s="644" t="s">
        <v>1765</v>
      </c>
      <c r="AD1067" s="645">
        <v>534.53742602189448</v>
      </c>
      <c r="AE1067" s="645">
        <v>8</v>
      </c>
    </row>
    <row r="1068" spans="29:31" ht="15.75">
      <c r="AC1068" s="644" t="s">
        <v>1893</v>
      </c>
      <c r="AD1068" s="645">
        <v>531.50010732574901</v>
      </c>
      <c r="AE1068" s="645">
        <v>11</v>
      </c>
    </row>
    <row r="1069" spans="29:31" ht="15.75">
      <c r="AC1069" s="644" t="s">
        <v>1622</v>
      </c>
      <c r="AD1069" s="645">
        <v>530.78930422250164</v>
      </c>
      <c r="AE1069" s="645">
        <v>9</v>
      </c>
    </row>
    <row r="1070" spans="29:31" ht="15.75">
      <c r="AC1070" s="644" t="s">
        <v>1496</v>
      </c>
      <c r="AD1070" s="645">
        <v>529.43635583085472</v>
      </c>
      <c r="AE1070" s="645">
        <v>11</v>
      </c>
    </row>
    <row r="1071" spans="29:31" ht="15.75">
      <c r="AC1071" s="644" t="s">
        <v>1623</v>
      </c>
      <c r="AD1071" s="645">
        <v>526.2028150010733</v>
      </c>
      <c r="AE1071" s="645">
        <v>7</v>
      </c>
    </row>
    <row r="1072" spans="29:31" ht="15.75">
      <c r="AC1072" s="644" t="s">
        <v>1624</v>
      </c>
      <c r="AD1072" s="645">
        <v>521.47894882095</v>
      </c>
      <c r="AE1072" s="645">
        <v>11</v>
      </c>
    </row>
    <row r="1073" spans="29:31" ht="15.75">
      <c r="AC1073" s="644" t="s">
        <v>1680</v>
      </c>
      <c r="AD1073" s="645">
        <v>521.00076661249273</v>
      </c>
      <c r="AE1073" s="645">
        <v>7</v>
      </c>
    </row>
    <row r="1074" spans="29:31" ht="15.75">
      <c r="AC1074" s="644" t="s">
        <v>1625</v>
      </c>
      <c r="AD1074" s="645">
        <v>520.98985005059637</v>
      </c>
      <c r="AE1074" s="645">
        <v>7</v>
      </c>
    </row>
    <row r="1075" spans="29:31" ht="15.75">
      <c r="AC1075" s="644" t="s">
        <v>1626</v>
      </c>
      <c r="AD1075" s="645">
        <v>518.9360645181074</v>
      </c>
      <c r="AE1075" s="645">
        <v>10</v>
      </c>
    </row>
    <row r="1076" spans="29:31" ht="15.75">
      <c r="AC1076" s="644" t="s">
        <v>1627</v>
      </c>
      <c r="AD1076" s="645">
        <v>512.78059550458431</v>
      </c>
      <c r="AE1076" s="645">
        <v>11</v>
      </c>
    </row>
    <row r="1077" spans="29:31" ht="15.75">
      <c r="AC1077" s="644" t="s">
        <v>1648</v>
      </c>
      <c r="AD1077" s="645">
        <v>510.39016282849343</v>
      </c>
      <c r="AE1077" s="645">
        <v>5</v>
      </c>
    </row>
    <row r="1078" spans="29:31" ht="15.75">
      <c r="AC1078" s="644" t="s">
        <v>1691</v>
      </c>
      <c r="AD1078" s="645">
        <v>504.52408696452125</v>
      </c>
      <c r="AE1078" s="645">
        <v>6</v>
      </c>
    </row>
    <row r="1079" spans="29:31" ht="15.75">
      <c r="AC1079" s="644" t="s">
        <v>1628</v>
      </c>
      <c r="AD1079" s="645">
        <v>503.65060869031919</v>
      </c>
      <c r="AE1079" s="645">
        <v>11</v>
      </c>
    </row>
    <row r="1080" spans="29:31" ht="15.75">
      <c r="AC1080" s="644" t="s">
        <v>1631</v>
      </c>
      <c r="AD1080" s="645">
        <v>492.50789610867503</v>
      </c>
      <c r="AE1080" s="645">
        <v>11</v>
      </c>
    </row>
    <row r="1081" spans="29:31" ht="15.75">
      <c r="AC1081" s="644" t="s">
        <v>1647</v>
      </c>
      <c r="AD1081" s="645">
        <v>492.05482812547916</v>
      </c>
      <c r="AE1081" s="645">
        <v>8</v>
      </c>
    </row>
    <row r="1082" spans="29:31" ht="15.75">
      <c r="AC1082" s="644" t="s">
        <v>1649</v>
      </c>
      <c r="AD1082" s="645">
        <v>488.62370059182479</v>
      </c>
      <c r="AE1082" s="645">
        <v>8</v>
      </c>
    </row>
    <row r="1083" spans="29:31" ht="15.75">
      <c r="AC1083" s="644" t="s">
        <v>1612</v>
      </c>
      <c r="AD1083" s="645">
        <v>486.11089816319645</v>
      </c>
      <c r="AE1083" s="645">
        <v>5</v>
      </c>
    </row>
    <row r="1084" spans="29:31" ht="15.75">
      <c r="AC1084" s="644" t="s">
        <v>1740</v>
      </c>
      <c r="AD1084" s="645">
        <v>482.24356812118606</v>
      </c>
      <c r="AE1084" s="645">
        <v>5</v>
      </c>
    </row>
    <row r="1085" spans="29:31" ht="15.75">
      <c r="AC1085" s="644" t="s">
        <v>1637</v>
      </c>
      <c r="AD1085" s="645">
        <v>475.59443132685288</v>
      </c>
      <c r="AE1085" s="645">
        <v>6</v>
      </c>
    </row>
    <row r="1086" spans="29:31" ht="15.75">
      <c r="AC1086" s="644" t="s">
        <v>1665</v>
      </c>
      <c r="AD1086" s="645">
        <v>469.78013553708871</v>
      </c>
      <c r="AE1086" s="645">
        <v>8</v>
      </c>
    </row>
    <row r="1087" spans="29:31" ht="15.75">
      <c r="AC1087" s="644" t="s">
        <v>1639</v>
      </c>
      <c r="AD1087" s="645">
        <v>465.80626169084053</v>
      </c>
      <c r="AE1087" s="645">
        <v>5</v>
      </c>
    </row>
    <row r="1088" spans="29:31" ht="15.75">
      <c r="AC1088" s="644" t="s">
        <v>1640</v>
      </c>
      <c r="AD1088" s="645">
        <v>461.64667750145657</v>
      </c>
      <c r="AE1088" s="645">
        <v>6</v>
      </c>
    </row>
    <row r="1089" spans="29:31" ht="15.75">
      <c r="AC1089" s="644" t="s">
        <v>1654</v>
      </c>
      <c r="AD1089" s="645">
        <v>460.79850357241418</v>
      </c>
      <c r="AE1089" s="645">
        <v>10</v>
      </c>
    </row>
    <row r="1090" spans="29:31" ht="15.75">
      <c r="AC1090" s="644" t="s">
        <v>1675</v>
      </c>
      <c r="AD1090" s="645">
        <v>458.21986446291135</v>
      </c>
      <c r="AE1090" s="645">
        <v>9</v>
      </c>
    </row>
    <row r="1091" spans="29:31" ht="15.75">
      <c r="AC1091" s="644" t="s">
        <v>1790</v>
      </c>
      <c r="AD1091" s="645">
        <v>458.06629664837021</v>
      </c>
      <c r="AE1091" s="645">
        <v>4</v>
      </c>
    </row>
    <row r="1092" spans="29:31" ht="15.75">
      <c r="AC1092" s="644" t="s">
        <v>1641</v>
      </c>
      <c r="AD1092" s="645">
        <v>457.16468369568554</v>
      </c>
      <c r="AE1092" s="645">
        <v>6</v>
      </c>
    </row>
    <row r="1093" spans="29:31" ht="15.75">
      <c r="AC1093" s="644" t="s">
        <v>1662</v>
      </c>
      <c r="AD1093" s="645">
        <v>453.87691269816941</v>
      </c>
      <c r="AE1093" s="645">
        <v>8</v>
      </c>
    </row>
    <row r="1094" spans="29:31" ht="15.75">
      <c r="AC1094" s="644" t="s">
        <v>1644</v>
      </c>
      <c r="AD1094" s="645">
        <v>443.40866578761768</v>
      </c>
      <c r="AE1094" s="645">
        <v>4</v>
      </c>
    </row>
    <row r="1095" spans="29:31" ht="15.75">
      <c r="AC1095" s="644" t="s">
        <v>1646</v>
      </c>
      <c r="AD1095" s="645">
        <v>439.4685842200484</v>
      </c>
      <c r="AE1095" s="645">
        <v>3</v>
      </c>
    </row>
    <row r="1096" spans="29:31" ht="15.75">
      <c r="AC1096" s="644" t="s">
        <v>1686</v>
      </c>
      <c r="AD1096" s="645">
        <v>438.54245499984665</v>
      </c>
      <c r="AE1096" s="645">
        <v>6</v>
      </c>
    </row>
    <row r="1097" spans="29:31" ht="15.75">
      <c r="AC1097" s="644" t="s">
        <v>1894</v>
      </c>
      <c r="AD1097" s="645">
        <v>437.69402962190668</v>
      </c>
      <c r="AE1097" s="645">
        <v>8</v>
      </c>
    </row>
    <row r="1098" spans="29:31" ht="15.75">
      <c r="AC1098" s="644" t="s">
        <v>1650</v>
      </c>
      <c r="AD1098" s="645">
        <v>431.53966453037322</v>
      </c>
      <c r="AE1098" s="645">
        <v>4</v>
      </c>
    </row>
    <row r="1099" spans="29:31" ht="15.75">
      <c r="AC1099" s="644" t="s">
        <v>1651</v>
      </c>
      <c r="AD1099" s="645">
        <v>429.30299592162157</v>
      </c>
      <c r="AE1099" s="645">
        <v>5</v>
      </c>
    </row>
    <row r="1100" spans="29:31" ht="15.75">
      <c r="AC1100" s="644" t="s">
        <v>1653</v>
      </c>
      <c r="AD1100" s="645">
        <v>419.4665910275674</v>
      </c>
      <c r="AE1100" s="645">
        <v>8</v>
      </c>
    </row>
    <row r="1101" spans="29:31" ht="15.75">
      <c r="AC1101" s="644" t="s">
        <v>1655</v>
      </c>
      <c r="AD1101" s="645">
        <v>416.05593204746867</v>
      </c>
      <c r="AE1101" s="645">
        <v>7</v>
      </c>
    </row>
    <row r="1102" spans="29:31" ht="15.75">
      <c r="AC1102" s="644" t="s">
        <v>1669</v>
      </c>
      <c r="AD1102" s="645">
        <v>404.68203980252065</v>
      </c>
      <c r="AE1102" s="645">
        <v>7</v>
      </c>
    </row>
    <row r="1103" spans="29:31" ht="15.75">
      <c r="AC1103" s="644" t="s">
        <v>1657</v>
      </c>
      <c r="AD1103" s="645">
        <v>403.24775382539633</v>
      </c>
      <c r="AE1103" s="645">
        <v>7</v>
      </c>
    </row>
    <row r="1104" spans="29:31" ht="15.75">
      <c r="AC1104" s="644" t="s">
        <v>1663</v>
      </c>
      <c r="AD1104" s="645">
        <v>391.04326760908896</v>
      </c>
      <c r="AE1104" s="645">
        <v>6</v>
      </c>
    </row>
    <row r="1105" spans="29:31" ht="15.75">
      <c r="AC1105" s="644" t="s">
        <v>1671</v>
      </c>
      <c r="AD1105" s="645">
        <v>385.91141026034165</v>
      </c>
      <c r="AE1105" s="645">
        <v>7</v>
      </c>
    </row>
    <row r="1106" spans="29:31" ht="15.75">
      <c r="AC1106" s="644" t="s">
        <v>1702</v>
      </c>
      <c r="AD1106" s="645">
        <v>382.80534175584921</v>
      </c>
      <c r="AE1106" s="645">
        <v>7</v>
      </c>
    </row>
    <row r="1107" spans="29:31" ht="15.75">
      <c r="AC1107" s="644" t="s">
        <v>1674</v>
      </c>
      <c r="AD1107" s="645">
        <v>370.5958112293398</v>
      </c>
      <c r="AE1107" s="645">
        <v>4</v>
      </c>
    </row>
    <row r="1108" spans="29:31" ht="15.75">
      <c r="AC1108" s="644" t="s">
        <v>1666</v>
      </c>
      <c r="AD1108" s="645">
        <v>365.34960596117878</v>
      </c>
      <c r="AE1108" s="645">
        <v>4</v>
      </c>
    </row>
    <row r="1109" spans="29:31" ht="15.75">
      <c r="AC1109" s="644" t="s">
        <v>1667</v>
      </c>
      <c r="AD1109" s="645">
        <v>363.22406549937136</v>
      </c>
      <c r="AE1109" s="645">
        <v>2</v>
      </c>
    </row>
    <row r="1110" spans="29:31" ht="15.75">
      <c r="AC1110" s="644" t="s">
        <v>1895</v>
      </c>
      <c r="AD1110" s="645">
        <v>359.60258808377546</v>
      </c>
      <c r="AE1110" s="645">
        <v>3</v>
      </c>
    </row>
    <row r="1111" spans="29:31" ht="15.75">
      <c r="AC1111" s="644" t="s">
        <v>1896</v>
      </c>
      <c r="AD1111" s="645">
        <v>356.32148661494591</v>
      </c>
      <c r="AE1111" s="645">
        <v>8</v>
      </c>
    </row>
    <row r="1112" spans="29:31" ht="15.75">
      <c r="AC1112" s="644" t="s">
        <v>1697</v>
      </c>
      <c r="AD1112" s="645">
        <v>355.32489037441354</v>
      </c>
      <c r="AE1112" s="645">
        <v>3</v>
      </c>
    </row>
    <row r="1113" spans="29:31" ht="15.75">
      <c r="AC1113" s="644" t="s">
        <v>1668</v>
      </c>
      <c r="AD1113" s="645">
        <v>351.28913556775319</v>
      </c>
      <c r="AE1113" s="645">
        <v>4</v>
      </c>
    </row>
    <row r="1114" spans="29:31" ht="15.75">
      <c r="AC1114" s="644" t="s">
        <v>1708</v>
      </c>
      <c r="AD1114" s="645">
        <v>345.88795191806446</v>
      </c>
      <c r="AE1114" s="645">
        <v>6</v>
      </c>
    </row>
    <row r="1115" spans="29:31" ht="15.75">
      <c r="AC1115" s="644" t="s">
        <v>1796</v>
      </c>
      <c r="AD1115" s="645">
        <v>344.7150961332066</v>
      </c>
      <c r="AE1115" s="645">
        <v>7</v>
      </c>
    </row>
    <row r="1116" spans="29:31" ht="15.75">
      <c r="AC1116" s="644" t="s">
        <v>1897</v>
      </c>
      <c r="AD1116" s="645">
        <v>336.69620680138604</v>
      </c>
      <c r="AE1116" s="645">
        <v>6</v>
      </c>
    </row>
    <row r="1117" spans="29:31" ht="15.75">
      <c r="AC1117" s="644" t="s">
        <v>1898</v>
      </c>
      <c r="AD1117" s="645">
        <v>330.94661310600719</v>
      </c>
      <c r="AE1117" s="645">
        <v>3</v>
      </c>
    </row>
    <row r="1118" spans="29:31" ht="15.75">
      <c r="AC1118" s="644" t="s">
        <v>1670</v>
      </c>
      <c r="AD1118" s="645">
        <v>330.30012879089878</v>
      </c>
      <c r="AE1118" s="645">
        <v>8</v>
      </c>
    </row>
    <row r="1119" spans="29:31" ht="15.75">
      <c r="AC1119" s="644" t="s">
        <v>1899</v>
      </c>
      <c r="AD1119" s="645">
        <v>325.71448284321241</v>
      </c>
      <c r="AE1119" s="645">
        <v>2</v>
      </c>
    </row>
    <row r="1120" spans="29:31" ht="15.75">
      <c r="AC1120" s="644" t="s">
        <v>1709</v>
      </c>
      <c r="AD1120" s="645">
        <v>323.01704946183804</v>
      </c>
      <c r="AE1120" s="645">
        <v>5</v>
      </c>
    </row>
    <row r="1121" spans="29:31" ht="15.75">
      <c r="AC1121" s="644" t="s">
        <v>1684</v>
      </c>
      <c r="AD1121" s="645">
        <v>322.07856244825371</v>
      </c>
      <c r="AE1121" s="645">
        <v>5</v>
      </c>
    </row>
    <row r="1122" spans="29:31" ht="15.75">
      <c r="AC1122" s="644" t="s">
        <v>1701</v>
      </c>
      <c r="AD1122" s="645">
        <v>320.69853730336393</v>
      </c>
      <c r="AE1122" s="645">
        <v>7</v>
      </c>
    </row>
    <row r="1123" spans="29:31" ht="15.75">
      <c r="AC1123" s="644" t="s">
        <v>1672</v>
      </c>
      <c r="AD1123" s="645">
        <v>318.78142344607647</v>
      </c>
      <c r="AE1123" s="645">
        <v>5</v>
      </c>
    </row>
    <row r="1124" spans="29:31" ht="15.75">
      <c r="AC1124" s="644" t="s">
        <v>1673</v>
      </c>
      <c r="AD1124" s="645">
        <v>317.65580632301987</v>
      </c>
      <c r="AE1124" s="645">
        <v>5</v>
      </c>
    </row>
    <row r="1125" spans="29:31" ht="15.75">
      <c r="AC1125" s="644" t="s">
        <v>1756</v>
      </c>
      <c r="AD1125" s="645">
        <v>313.88134065192725</v>
      </c>
      <c r="AE1125" s="645">
        <v>4</v>
      </c>
    </row>
    <row r="1126" spans="29:31" ht="15.75">
      <c r="AC1126" s="644" t="s">
        <v>1698</v>
      </c>
      <c r="AD1126" s="645">
        <v>311.21523412345528</v>
      </c>
      <c r="AE1126" s="645">
        <v>5</v>
      </c>
    </row>
    <row r="1127" spans="29:31" ht="15.75">
      <c r="AC1127" s="644" t="s">
        <v>1710</v>
      </c>
      <c r="AD1127" s="645">
        <v>310.51976327006224</v>
      </c>
      <c r="AE1127" s="645">
        <v>6</v>
      </c>
    </row>
    <row r="1128" spans="29:31" ht="15.75">
      <c r="AC1128" s="644" t="s">
        <v>1900</v>
      </c>
      <c r="AD1128" s="645">
        <v>306.81058538529948</v>
      </c>
      <c r="AE1128" s="645">
        <v>4</v>
      </c>
    </row>
    <row r="1129" spans="29:31" ht="15.75">
      <c r="AC1129" s="644" t="s">
        <v>1750</v>
      </c>
      <c r="AD1129" s="645">
        <v>306.04360491858574</v>
      </c>
      <c r="AE1129" s="645">
        <v>4</v>
      </c>
    </row>
    <row r="1130" spans="29:31" ht="15.75">
      <c r="AC1130" s="644" t="s">
        <v>1676</v>
      </c>
      <c r="AD1130" s="645">
        <v>303.1423998037472</v>
      </c>
      <c r="AE1130" s="645">
        <v>8</v>
      </c>
    </row>
    <row r="1131" spans="29:31" ht="15.75">
      <c r="AC1131" s="644" t="s">
        <v>1695</v>
      </c>
      <c r="AD1131" s="645">
        <v>301.20965318450828</v>
      </c>
      <c r="AE1131" s="645">
        <v>6</v>
      </c>
    </row>
    <row r="1132" spans="29:31" ht="15.75">
      <c r="AC1132" s="644" t="s">
        <v>1677</v>
      </c>
      <c r="AD1132" s="645">
        <v>300.47947011744503</v>
      </c>
      <c r="AE1132" s="645">
        <v>6</v>
      </c>
    </row>
    <row r="1133" spans="29:31" ht="15.75">
      <c r="AC1133" s="644" t="s">
        <v>1678</v>
      </c>
      <c r="AD1133" s="645">
        <v>297.28288000981263</v>
      </c>
      <c r="AE1133" s="645">
        <v>6</v>
      </c>
    </row>
    <row r="1134" spans="29:31" ht="15.75">
      <c r="AC1134" s="644" t="s">
        <v>1679</v>
      </c>
      <c r="AD1134" s="645">
        <v>294.63677900095064</v>
      </c>
      <c r="AE1134" s="645">
        <v>4</v>
      </c>
    </row>
    <row r="1135" spans="29:31" ht="15.75">
      <c r="AC1135" s="644" t="s">
        <v>1901</v>
      </c>
      <c r="AD1135" s="645">
        <v>291.6331912544847</v>
      </c>
      <c r="AE1135" s="645">
        <v>6</v>
      </c>
    </row>
    <row r="1136" spans="29:31" ht="15.75">
      <c r="AC1136" s="644" t="s">
        <v>1696</v>
      </c>
      <c r="AD1136" s="645">
        <v>289.69942657385548</v>
      </c>
      <c r="AE1136" s="645">
        <v>4</v>
      </c>
    </row>
    <row r="1137" spans="29:31" ht="15.75">
      <c r="AC1137" s="644" t="s">
        <v>1712</v>
      </c>
      <c r="AD1137" s="645">
        <v>285.48649228787838</v>
      </c>
      <c r="AE1137" s="645">
        <v>5</v>
      </c>
    </row>
    <row r="1138" spans="29:31" ht="15.75">
      <c r="AC1138" s="644" t="s">
        <v>1776</v>
      </c>
      <c r="AD1138" s="645">
        <v>285.0359387936586</v>
      </c>
      <c r="AE1138" s="645">
        <v>3</v>
      </c>
    </row>
    <row r="1139" spans="29:31" ht="15.75">
      <c r="AC1139" s="644" t="s">
        <v>1705</v>
      </c>
      <c r="AD1139" s="645">
        <v>282.16131060071757</v>
      </c>
      <c r="AE1139" s="645">
        <v>4</v>
      </c>
    </row>
    <row r="1140" spans="29:31" ht="15.75">
      <c r="AC1140" s="644" t="s">
        <v>1681</v>
      </c>
      <c r="AD1140" s="645">
        <v>281.19346232866212</v>
      </c>
      <c r="AE1140" s="645">
        <v>4</v>
      </c>
    </row>
    <row r="1141" spans="29:31" ht="15.75">
      <c r="AC1141" s="644" t="s">
        <v>1724</v>
      </c>
      <c r="AD1141" s="645">
        <v>275.9693048357916</v>
      </c>
      <c r="AE1141" s="645">
        <v>5</v>
      </c>
    </row>
    <row r="1142" spans="29:31" ht="15.75">
      <c r="AC1142" s="644" t="s">
        <v>1682</v>
      </c>
      <c r="AD1142" s="645">
        <v>273.39118702278375</v>
      </c>
      <c r="AE1142" s="645">
        <v>6</v>
      </c>
    </row>
    <row r="1143" spans="29:31" ht="15.75">
      <c r="AC1143" s="644" t="s">
        <v>1721</v>
      </c>
      <c r="AD1143" s="645">
        <v>259.15120664806358</v>
      </c>
      <c r="AE1143" s="645">
        <v>3</v>
      </c>
    </row>
    <row r="1144" spans="29:31" ht="15.75">
      <c r="AC1144" s="644" t="s">
        <v>1713</v>
      </c>
      <c r="AD1144" s="645">
        <v>254.31136733004203</v>
      </c>
      <c r="AE1144" s="645">
        <v>4</v>
      </c>
    </row>
    <row r="1145" spans="29:31" ht="15.75">
      <c r="AC1145" s="644" t="s">
        <v>1687</v>
      </c>
      <c r="AD1145" s="645">
        <v>254.20870258501733</v>
      </c>
      <c r="AE1145" s="645">
        <v>6</v>
      </c>
    </row>
    <row r="1146" spans="29:31" ht="15.75">
      <c r="AC1146" s="644" t="s">
        <v>1690</v>
      </c>
      <c r="AD1146" s="645">
        <v>251.23102634080527</v>
      </c>
      <c r="AE1146" s="645">
        <v>6</v>
      </c>
    </row>
    <row r="1147" spans="29:31" ht="15.75">
      <c r="AC1147" s="644" t="s">
        <v>1692</v>
      </c>
      <c r="AD1147" s="645">
        <v>248.52572444880562</v>
      </c>
      <c r="AE1147" s="645">
        <v>2</v>
      </c>
    </row>
    <row r="1148" spans="29:31" ht="15.75">
      <c r="AC1148" s="644" t="s">
        <v>1738</v>
      </c>
      <c r="AD1148" s="645">
        <v>248.0758026432799</v>
      </c>
      <c r="AE1148" s="645">
        <v>6</v>
      </c>
    </row>
    <row r="1149" spans="29:31" ht="15.75">
      <c r="AC1149" s="644" t="s">
        <v>1693</v>
      </c>
      <c r="AD1149" s="645">
        <v>247.3963693232345</v>
      </c>
      <c r="AE1149" s="645">
        <v>4</v>
      </c>
    </row>
    <row r="1150" spans="29:31" ht="15.75">
      <c r="AC1150" s="644" t="s">
        <v>1694</v>
      </c>
      <c r="AD1150" s="645">
        <v>244.70270767532429</v>
      </c>
      <c r="AE1150" s="645">
        <v>6</v>
      </c>
    </row>
    <row r="1151" spans="29:31" ht="15.75">
      <c r="AC1151" s="644" t="s">
        <v>1757</v>
      </c>
      <c r="AD1151" s="645">
        <v>244.12008218085924</v>
      </c>
      <c r="AE1151" s="645">
        <v>3</v>
      </c>
    </row>
    <row r="1152" spans="29:31" ht="15.75">
      <c r="AC1152" s="644" t="s">
        <v>1699</v>
      </c>
      <c r="AD1152" s="645">
        <v>229.9837478151544</v>
      </c>
      <c r="AE1152" s="645">
        <v>5</v>
      </c>
    </row>
    <row r="1153" spans="29:31" ht="15.75">
      <c r="AC1153" s="644" t="s">
        <v>1700</v>
      </c>
      <c r="AD1153" s="645">
        <v>229.79914752690809</v>
      </c>
      <c r="AE1153" s="645">
        <v>3</v>
      </c>
    </row>
    <row r="1154" spans="29:31" ht="15.75">
      <c r="AC1154" s="644" t="s">
        <v>1704</v>
      </c>
      <c r="AD1154" s="645">
        <v>221.6813345190273</v>
      </c>
      <c r="AE1154" s="645">
        <v>2</v>
      </c>
    </row>
    <row r="1155" spans="29:31" ht="15.75">
      <c r="AC1155" s="644" t="s">
        <v>1737</v>
      </c>
      <c r="AD1155" s="645">
        <v>218.14725092760111</v>
      </c>
      <c r="AE1155" s="645">
        <v>3</v>
      </c>
    </row>
    <row r="1156" spans="29:31" ht="15.75">
      <c r="AC1156" s="644" t="s">
        <v>1754</v>
      </c>
      <c r="AD1156" s="645">
        <v>209.48146330992611</v>
      </c>
      <c r="AE1156" s="645">
        <v>3</v>
      </c>
    </row>
    <row r="1157" spans="29:31" ht="15.75">
      <c r="AC1157" s="644" t="s">
        <v>1751</v>
      </c>
      <c r="AD1157" s="645">
        <v>207.63806690993837</v>
      </c>
      <c r="AE1157" s="645">
        <v>2</v>
      </c>
    </row>
    <row r="1158" spans="29:31" ht="15.75">
      <c r="AC1158" s="644" t="s">
        <v>1902</v>
      </c>
      <c r="AD1158" s="645">
        <v>206.67872803655209</v>
      </c>
      <c r="AE1158" s="645">
        <v>2</v>
      </c>
    </row>
    <row r="1159" spans="29:31" ht="15.75">
      <c r="AC1159" s="644" t="s">
        <v>1784</v>
      </c>
      <c r="AD1159" s="645">
        <v>204.0423476740977</v>
      </c>
      <c r="AE1159" s="645">
        <v>3</v>
      </c>
    </row>
    <row r="1160" spans="29:31" ht="15.75">
      <c r="AC1160" s="644" t="s">
        <v>1714</v>
      </c>
      <c r="AD1160" s="645">
        <v>202.86774401275645</v>
      </c>
      <c r="AE1160" s="645">
        <v>4</v>
      </c>
    </row>
    <row r="1161" spans="29:31" ht="15.75">
      <c r="AC1161" s="644" t="s">
        <v>1232</v>
      </c>
      <c r="AD1161" s="645">
        <v>202.38569807733589</v>
      </c>
      <c r="AE1161" s="645">
        <v>4</v>
      </c>
    </row>
    <row r="1162" spans="29:31" ht="15.75">
      <c r="AC1162" s="644" t="s">
        <v>1903</v>
      </c>
      <c r="AD1162" s="645">
        <v>199.85587685136917</v>
      </c>
      <c r="AE1162" s="645">
        <v>3</v>
      </c>
    </row>
    <row r="1163" spans="29:31" ht="15.75">
      <c r="AC1163" s="644" t="s">
        <v>1716</v>
      </c>
      <c r="AD1163" s="645">
        <v>194.25078961086751</v>
      </c>
      <c r="AE1163" s="645">
        <v>0</v>
      </c>
    </row>
    <row r="1164" spans="29:31" ht="15.75">
      <c r="AC1164" s="644" t="s">
        <v>1746</v>
      </c>
      <c r="AD1164" s="645">
        <v>194.03176842169819</v>
      </c>
      <c r="AE1164" s="645">
        <v>2</v>
      </c>
    </row>
    <row r="1165" spans="29:31" ht="15.75">
      <c r="AC1165" s="644" t="s">
        <v>1717</v>
      </c>
      <c r="AD1165" s="645">
        <v>193.14035141516666</v>
      </c>
      <c r="AE1165" s="645">
        <v>3</v>
      </c>
    </row>
    <row r="1166" spans="29:31" ht="15.75">
      <c r="AC1166" s="644" t="s">
        <v>1718</v>
      </c>
      <c r="AD1166" s="645">
        <v>191.5293919229708</v>
      </c>
      <c r="AE1166" s="645">
        <v>4</v>
      </c>
    </row>
    <row r="1167" spans="29:31">
      <c r="AC1167" s="108" t="s">
        <v>1761</v>
      </c>
      <c r="AD1167" s="108">
        <v>189.92364539572537</v>
      </c>
      <c r="AE1167" s="108">
        <v>2</v>
      </c>
    </row>
    <row r="1168" spans="29:31">
      <c r="AC1168" s="108" t="s">
        <v>1720</v>
      </c>
      <c r="AD1168" s="108">
        <v>187.666738217166</v>
      </c>
      <c r="AE1168" s="108">
        <v>4</v>
      </c>
    </row>
    <row r="1169" spans="29:31">
      <c r="AC1169" s="108" t="s">
        <v>1770</v>
      </c>
      <c r="AD1169" s="108">
        <v>177.43545122811321</v>
      </c>
      <c r="AE1169" s="108">
        <v>2</v>
      </c>
    </row>
    <row r="1170" spans="29:31">
      <c r="AC1170" s="108" t="s">
        <v>1904</v>
      </c>
      <c r="AD1170" s="108">
        <v>175.24761583514766</v>
      </c>
      <c r="AE1170" s="108">
        <v>2</v>
      </c>
    </row>
    <row r="1171" spans="29:31">
      <c r="AC1171" s="108" t="s">
        <v>1722</v>
      </c>
      <c r="AD1171" s="108">
        <v>173.40406611266138</v>
      </c>
      <c r="AE1171" s="108">
        <v>2</v>
      </c>
    </row>
    <row r="1172" spans="29:31">
      <c r="AC1172" s="108" t="s">
        <v>1905</v>
      </c>
      <c r="AD1172" s="108">
        <v>169.26803839195364</v>
      </c>
      <c r="AE1172" s="108">
        <v>3</v>
      </c>
    </row>
    <row r="1173" spans="29:31">
      <c r="AC1173" s="108" t="s">
        <v>1906</v>
      </c>
      <c r="AD1173" s="108">
        <v>166.96820091380209</v>
      </c>
      <c r="AE1173" s="108">
        <v>2</v>
      </c>
    </row>
    <row r="1174" spans="29:31">
      <c r="AC1174" s="108" t="s">
        <v>1799</v>
      </c>
      <c r="AD1174" s="108">
        <v>165.74162092545461</v>
      </c>
      <c r="AE1174" s="108">
        <v>4</v>
      </c>
    </row>
    <row r="1175" spans="29:31">
      <c r="AC1175" s="108" t="s">
        <v>1723</v>
      </c>
      <c r="AD1175" s="108">
        <v>164.36171843856368</v>
      </c>
      <c r="AE1175" s="108">
        <v>4</v>
      </c>
    </row>
    <row r="1176" spans="29:31">
      <c r="AC1176" s="108" t="s">
        <v>1725</v>
      </c>
      <c r="AD1176" s="108">
        <v>163.34208702585016</v>
      </c>
      <c r="AE1176" s="108">
        <v>2</v>
      </c>
    </row>
    <row r="1177" spans="29:31">
      <c r="AC1177" s="108" t="s">
        <v>1726</v>
      </c>
      <c r="AD1177" s="108">
        <v>162.9572843519058</v>
      </c>
      <c r="AE1177" s="108">
        <v>2</v>
      </c>
    </row>
    <row r="1178" spans="29:31">
      <c r="AC1178" s="108" t="s">
        <v>1727</v>
      </c>
      <c r="AD1178" s="108">
        <v>155.34566863941615</v>
      </c>
      <c r="AE1178" s="108">
        <v>3</v>
      </c>
    </row>
    <row r="1179" spans="29:31">
      <c r="AC1179" s="108" t="s">
        <v>1728</v>
      </c>
      <c r="AD1179" s="108">
        <v>153.01585354634938</v>
      </c>
      <c r="AE1179" s="108">
        <v>2</v>
      </c>
    </row>
    <row r="1180" spans="29:31">
      <c r="AC1180" s="108" t="s">
        <v>1729</v>
      </c>
      <c r="AD1180" s="108">
        <v>152.70920854926251</v>
      </c>
      <c r="AE1180" s="108">
        <v>2</v>
      </c>
    </row>
    <row r="1181" spans="29:31">
      <c r="AC1181" s="108" t="s">
        <v>1730</v>
      </c>
      <c r="AD1181" s="108">
        <v>152.13204133574561</v>
      </c>
      <c r="AE1181" s="108">
        <v>3</v>
      </c>
    </row>
    <row r="1182" spans="29:31">
      <c r="AC1182" s="108" t="s">
        <v>1731</v>
      </c>
      <c r="AD1182" s="108">
        <v>145.73260556254024</v>
      </c>
      <c r="AE1182" s="108">
        <v>3</v>
      </c>
    </row>
    <row r="1183" spans="29:31">
      <c r="AC1183" s="108" t="s">
        <v>1732</v>
      </c>
      <c r="AD1183" s="108">
        <v>138.17423568734478</v>
      </c>
      <c r="AE1183" s="108">
        <v>2</v>
      </c>
    </row>
    <row r="1184" spans="29:31">
      <c r="AC1184" s="108" t="s">
        <v>1733</v>
      </c>
      <c r="AD1184" s="108">
        <v>133.59602588083777</v>
      </c>
      <c r="AE1184" s="108">
        <v>2</v>
      </c>
    </row>
    <row r="1185" spans="29:31">
      <c r="AC1185" s="108" t="s">
        <v>1734</v>
      </c>
      <c r="AD1185" s="108">
        <v>132.70748111578916</v>
      </c>
      <c r="AE1185" s="108">
        <v>2</v>
      </c>
    </row>
    <row r="1186" spans="29:31">
      <c r="AC1186" s="108" t="s">
        <v>1735</v>
      </c>
      <c r="AD1186" s="108">
        <v>130.29545245469322</v>
      </c>
      <c r="AE1186" s="108">
        <v>3</v>
      </c>
    </row>
    <row r="1187" spans="29:31">
      <c r="AC1187" s="108" t="s">
        <v>1736</v>
      </c>
      <c r="AD1187" s="108">
        <v>129.53834595688571</v>
      </c>
      <c r="AE1187" s="108">
        <v>2</v>
      </c>
    </row>
    <row r="1188" spans="29:31">
      <c r="AC1188" s="108" t="s">
        <v>1739</v>
      </c>
      <c r="AD1188" s="108">
        <v>120.12106344484991</v>
      </c>
      <c r="AE1188" s="108">
        <v>2</v>
      </c>
    </row>
    <row r="1189" spans="29:31">
      <c r="AC1189" s="108" t="s">
        <v>1771</v>
      </c>
      <c r="AD1189" s="108">
        <v>118.99742418202447</v>
      </c>
      <c r="AE1189" s="108">
        <v>2</v>
      </c>
    </row>
    <row r="1190" spans="29:31">
      <c r="AC1190" s="108" t="s">
        <v>1741</v>
      </c>
      <c r="AD1190" s="108">
        <v>116.57545000153323</v>
      </c>
      <c r="AE1190" s="108">
        <v>3</v>
      </c>
    </row>
    <row r="1191" spans="29:31">
      <c r="AC1191" s="108" t="s">
        <v>1742</v>
      </c>
      <c r="AD1191" s="108">
        <v>116.18134985127719</v>
      </c>
      <c r="AE1191" s="108">
        <v>2</v>
      </c>
    </row>
    <row r="1192" spans="29:31">
      <c r="AC1192" s="108" t="s">
        <v>1743</v>
      </c>
      <c r="AD1192" s="108">
        <v>116.18012327128883</v>
      </c>
      <c r="AE1192" s="108">
        <v>2</v>
      </c>
    </row>
    <row r="1193" spans="29:31">
      <c r="AC1193" s="108" t="s">
        <v>1744</v>
      </c>
      <c r="AD1193" s="108">
        <v>115.82300450768145</v>
      </c>
      <c r="AE1193" s="108">
        <v>2</v>
      </c>
    </row>
    <row r="1194" spans="29:31">
      <c r="AC1194" s="108" t="s">
        <v>1745</v>
      </c>
      <c r="AD1194" s="108">
        <v>115.45092146821625</v>
      </c>
      <c r="AE1194" s="108">
        <v>1</v>
      </c>
    </row>
    <row r="1195" spans="29:31">
      <c r="AC1195" s="108" t="s">
        <v>1785</v>
      </c>
      <c r="AD1195" s="108">
        <v>113.27159547391985</v>
      </c>
      <c r="AE1195" s="108">
        <v>2</v>
      </c>
    </row>
    <row r="1196" spans="29:31">
      <c r="AC1196" s="108" t="s">
        <v>1747</v>
      </c>
      <c r="AD1196" s="108">
        <v>108.37984115789152</v>
      </c>
      <c r="AE1196" s="108">
        <v>1</v>
      </c>
    </row>
    <row r="1197" spans="29:31">
      <c r="AC1197" s="108" t="s">
        <v>1782</v>
      </c>
      <c r="AD1197" s="108">
        <v>107.08464935144585</v>
      </c>
      <c r="AE1197" s="108">
        <v>2</v>
      </c>
    </row>
    <row r="1198" spans="29:31">
      <c r="AC1198" s="108" t="s">
        <v>1748</v>
      </c>
      <c r="AD1198" s="108">
        <v>106.04669590015639</v>
      </c>
      <c r="AE1198" s="108">
        <v>2</v>
      </c>
    </row>
    <row r="1199" spans="29:31">
      <c r="AC1199" s="108" t="s">
        <v>1792</v>
      </c>
      <c r="AD1199" s="108">
        <v>102.89472877250009</v>
      </c>
      <c r="AE1199" s="108">
        <v>2</v>
      </c>
    </row>
    <row r="1200" spans="29:31">
      <c r="AC1200" s="108" t="s">
        <v>1749</v>
      </c>
      <c r="AD1200" s="108">
        <v>100.57787249701022</v>
      </c>
      <c r="AE1200" s="108">
        <v>2</v>
      </c>
    </row>
    <row r="1201" spans="29:31">
      <c r="AC1201" s="108" t="s">
        <v>1752</v>
      </c>
      <c r="AD1201" s="108">
        <v>99.258225752046854</v>
      </c>
      <c r="AE1201" s="108">
        <v>1</v>
      </c>
    </row>
    <row r="1202" spans="29:31">
      <c r="AC1202" s="108" t="s">
        <v>1753</v>
      </c>
      <c r="AD1202" s="108">
        <v>96.554757597129807</v>
      </c>
      <c r="AE1202" s="108">
        <v>2</v>
      </c>
    </row>
    <row r="1203" spans="29:31">
      <c r="AC1203" s="108" t="s">
        <v>1907</v>
      </c>
      <c r="AD1203" s="108">
        <v>96.335592284811881</v>
      </c>
      <c r="AE1203" s="108">
        <v>1</v>
      </c>
    </row>
    <row r="1204" spans="29:31">
      <c r="AC1204" s="108" t="s">
        <v>1755</v>
      </c>
      <c r="AD1204" s="108">
        <v>95.006516206188095</v>
      </c>
      <c r="AE1204" s="108">
        <v>2</v>
      </c>
    </row>
    <row r="1205" spans="29:31">
      <c r="AC1205" s="108" t="s">
        <v>1758</v>
      </c>
      <c r="AD1205" s="108">
        <v>86.702033056330691</v>
      </c>
      <c r="AE1205" s="108">
        <v>1</v>
      </c>
    </row>
    <row r="1206" spans="29:31">
      <c r="AC1206" s="108" t="s">
        <v>1759</v>
      </c>
      <c r="AD1206" s="108">
        <v>86.013921682867746</v>
      </c>
      <c r="AE1206" s="108">
        <v>1</v>
      </c>
    </row>
    <row r="1207" spans="29:31">
      <c r="AC1207" s="108" t="s">
        <v>1182</v>
      </c>
      <c r="AD1207" s="108">
        <v>80.49155193033026</v>
      </c>
      <c r="AE1207" s="108">
        <v>1</v>
      </c>
    </row>
    <row r="1208" spans="29:31">
      <c r="AC1208" s="108" t="s">
        <v>1798</v>
      </c>
      <c r="AD1208" s="108">
        <v>77.939958909570407</v>
      </c>
      <c r="AE1208" s="108">
        <v>2</v>
      </c>
    </row>
    <row r="1209" spans="29:31">
      <c r="AC1209" s="108" t="s">
        <v>1908</v>
      </c>
      <c r="AD1209" s="108">
        <v>77.412529514580967</v>
      </c>
      <c r="AE1209" s="108">
        <v>1</v>
      </c>
    </row>
    <row r="1210" spans="29:31">
      <c r="AC1210" s="108" t="s">
        <v>1763</v>
      </c>
      <c r="AD1210" s="108">
        <v>75.17616755082642</v>
      </c>
      <c r="AE1210" s="108">
        <v>2</v>
      </c>
    </row>
    <row r="1211" spans="29:31">
      <c r="AC1211" s="108" t="s">
        <v>1764</v>
      </c>
      <c r="AD1211" s="108">
        <v>74.284750544294866</v>
      </c>
      <c r="AE1211" s="108">
        <v>1</v>
      </c>
    </row>
    <row r="1212" spans="29:31">
      <c r="AC1212" s="108" t="s">
        <v>1766</v>
      </c>
      <c r="AD1212" s="108">
        <v>73.502805801723341</v>
      </c>
      <c r="AE1212" s="108">
        <v>1</v>
      </c>
    </row>
    <row r="1213" spans="29:31">
      <c r="AC1213" s="108" t="s">
        <v>1768</v>
      </c>
      <c r="AD1213" s="108">
        <v>70.897093005427621</v>
      </c>
      <c r="AE1213" s="108">
        <v>1</v>
      </c>
    </row>
    <row r="1214" spans="29:31">
      <c r="AC1214" s="108" t="s">
        <v>1769</v>
      </c>
      <c r="AD1214" s="108">
        <v>69.23964306522339</v>
      </c>
      <c r="AE1214" s="108">
        <v>1</v>
      </c>
    </row>
    <row r="1215" spans="29:31">
      <c r="AC1215" s="108" t="s">
        <v>1772</v>
      </c>
      <c r="AD1215" s="108">
        <v>66.388641869307904</v>
      </c>
      <c r="AE1215" s="108">
        <v>1</v>
      </c>
    </row>
    <row r="1216" spans="29:31">
      <c r="AC1216" s="108" t="s">
        <v>1909</v>
      </c>
      <c r="AD1216" s="108">
        <v>65.817362239735061</v>
      </c>
      <c r="AE1216" s="108">
        <v>1</v>
      </c>
    </row>
    <row r="1217" spans="29:31">
      <c r="AC1217" s="108" t="s">
        <v>1910</v>
      </c>
      <c r="AD1217" s="108">
        <v>64.728925822575206</v>
      </c>
      <c r="AE1217" s="108">
        <v>1</v>
      </c>
    </row>
    <row r="1218" spans="29:31">
      <c r="AC1218" s="108" t="s">
        <v>1911</v>
      </c>
      <c r="AD1218" s="108">
        <v>62.239351752476161</v>
      </c>
      <c r="AE1218" s="108">
        <v>1</v>
      </c>
    </row>
    <row r="1219" spans="29:31">
      <c r="AC1219" s="108" t="s">
        <v>1912</v>
      </c>
      <c r="AD1219" s="108">
        <v>60.65131397381252</v>
      </c>
      <c r="AE1219" s="108">
        <v>1</v>
      </c>
    </row>
    <row r="1220" spans="29:31">
      <c r="AC1220" s="108" t="s">
        <v>1773</v>
      </c>
      <c r="AD1220" s="108">
        <v>60.366134126521729</v>
      </c>
      <c r="AE1220" s="108">
        <v>1</v>
      </c>
    </row>
    <row r="1221" spans="29:31">
      <c r="AC1221" s="108" t="s">
        <v>1774</v>
      </c>
      <c r="AD1221" s="108">
        <v>59.576369936524493</v>
      </c>
      <c r="AE1221" s="108">
        <v>1</v>
      </c>
    </row>
    <row r="1222" spans="29:31">
      <c r="AC1222" s="108" t="s">
        <v>1775</v>
      </c>
      <c r="AD1222" s="108">
        <v>59.550458434270645</v>
      </c>
      <c r="AE1222" s="108">
        <v>1</v>
      </c>
    </row>
    <row r="1223" spans="29:31">
      <c r="AC1223" s="108" t="s">
        <v>1777</v>
      </c>
      <c r="AD1223" s="108">
        <v>58.792585323970442</v>
      </c>
      <c r="AE1223" s="108">
        <v>1</v>
      </c>
    </row>
    <row r="1224" spans="29:31">
      <c r="AC1224" s="108" t="s">
        <v>1913</v>
      </c>
      <c r="AD1224" s="108">
        <v>58.789595535248843</v>
      </c>
      <c r="AE1224" s="108">
        <v>1</v>
      </c>
    </row>
    <row r="1225" spans="29:31">
      <c r="AC1225" s="108" t="s">
        <v>1914</v>
      </c>
      <c r="AD1225" s="108">
        <v>58.090061635644417</v>
      </c>
      <c r="AE1225" s="108">
        <v>1</v>
      </c>
    </row>
    <row r="1226" spans="29:31">
      <c r="AC1226" s="108" t="s">
        <v>1778</v>
      </c>
      <c r="AD1226" s="108">
        <v>58.008684186317502</v>
      </c>
      <c r="AE1226" s="108">
        <v>1</v>
      </c>
    </row>
    <row r="1227" spans="29:31">
      <c r="AC1227" s="108" t="s">
        <v>1779</v>
      </c>
      <c r="AD1227" s="108">
        <v>57.695010885897403</v>
      </c>
      <c r="AE1227" s="108">
        <v>1</v>
      </c>
    </row>
    <row r="1228" spans="29:31">
      <c r="AC1228" s="108" t="s">
        <v>1780</v>
      </c>
      <c r="AD1228" s="108">
        <v>56.572935512557116</v>
      </c>
      <c r="AE1228" s="108">
        <v>1</v>
      </c>
    </row>
    <row r="1229" spans="29:31">
      <c r="AC1229" s="108" t="s">
        <v>1915</v>
      </c>
      <c r="AD1229" s="108">
        <v>55.196099475637055</v>
      </c>
      <c r="AE1229" s="108">
        <v>1</v>
      </c>
    </row>
    <row r="1230" spans="29:31">
      <c r="AC1230" s="108" t="s">
        <v>1781</v>
      </c>
      <c r="AD1230" s="108">
        <v>55.119284903866799</v>
      </c>
      <c r="AE1230" s="108">
        <v>1</v>
      </c>
    </row>
    <row r="1231" spans="29:31">
      <c r="AC1231" s="108" t="s">
        <v>1916</v>
      </c>
      <c r="AD1231" s="108">
        <v>55.084174051700344</v>
      </c>
      <c r="AE1231" s="108">
        <v>1</v>
      </c>
    </row>
    <row r="1232" spans="29:31">
      <c r="AC1232" s="108" t="s">
        <v>1917</v>
      </c>
      <c r="AD1232" s="108">
        <v>54.870289166232254</v>
      </c>
      <c r="AE1232" s="108">
        <v>1</v>
      </c>
    </row>
    <row r="1233" spans="29:31">
      <c r="AC1233" s="108" t="s">
        <v>1783</v>
      </c>
      <c r="AD1233" s="108">
        <v>53.958878905890657</v>
      </c>
      <c r="AE1233" s="108">
        <v>1</v>
      </c>
    </row>
    <row r="1234" spans="29:31">
      <c r="AC1234" s="108" t="s">
        <v>1787</v>
      </c>
      <c r="AD1234" s="108">
        <v>52.218380301125386</v>
      </c>
      <c r="AE1234" s="108">
        <v>1</v>
      </c>
    </row>
    <row r="1235" spans="29:31">
      <c r="AC1235" s="108" t="s">
        <v>1788</v>
      </c>
      <c r="AD1235" s="108">
        <v>51.508264082671495</v>
      </c>
      <c r="AE1235" s="108">
        <v>1</v>
      </c>
    </row>
    <row r="1236" spans="29:31">
      <c r="AC1236" s="108" t="s">
        <v>1789</v>
      </c>
      <c r="AD1236" s="108">
        <v>50.510180613903287</v>
      </c>
      <c r="AE1236" s="108">
        <v>1</v>
      </c>
    </row>
    <row r="1237" spans="29:31">
      <c r="AC1237" s="108" t="s">
        <v>1918</v>
      </c>
      <c r="AD1237" s="108">
        <v>50.510180613903287</v>
      </c>
      <c r="AE1237" s="108">
        <v>1</v>
      </c>
    </row>
    <row r="1238" spans="29:31">
      <c r="AC1238" s="108" t="s">
        <v>1791</v>
      </c>
      <c r="AD1238" s="108">
        <v>48.822789856183498</v>
      </c>
      <c r="AE1238" s="108">
        <v>1</v>
      </c>
    </row>
    <row r="1239" spans="29:31">
      <c r="AC1239" s="108" t="s">
        <v>1793</v>
      </c>
      <c r="AD1239" s="108">
        <v>44.488056177363468</v>
      </c>
      <c r="AE1239" s="108">
        <v>1</v>
      </c>
    </row>
    <row r="1240" spans="29:31">
      <c r="AC1240" s="108" t="s">
        <v>1794</v>
      </c>
      <c r="AD1240" s="108">
        <v>43.318205513477047</v>
      </c>
      <c r="AE1240" s="108">
        <v>1</v>
      </c>
    </row>
    <row r="1241" spans="29:31">
      <c r="AC1241" s="108" t="s">
        <v>1795</v>
      </c>
      <c r="AD1241" s="108">
        <v>42.928876759375676</v>
      </c>
      <c r="AE1241" s="108">
        <v>1</v>
      </c>
    </row>
    <row r="1242" spans="29:31">
      <c r="AC1242" s="108" t="s">
        <v>1919</v>
      </c>
      <c r="AD1242" s="108">
        <v>41.090429609640921</v>
      </c>
      <c r="AE1242" s="108">
        <v>1</v>
      </c>
    </row>
    <row r="1243" spans="29:31">
      <c r="AC1243" s="108" t="s">
        <v>1797</v>
      </c>
      <c r="AD1243" s="108">
        <v>40.432798748888416</v>
      </c>
      <c r="AE1243" s="108">
        <v>1</v>
      </c>
    </row>
    <row r="1244" spans="29:31">
      <c r="AC1244" s="108" t="s">
        <v>1800</v>
      </c>
      <c r="AD1244" s="108">
        <v>30.574039434546627</v>
      </c>
      <c r="AE1244" s="108">
        <v>0</v>
      </c>
    </row>
    <row r="1245" spans="29:31">
      <c r="AC1245" s="108" t="s">
        <v>1801</v>
      </c>
      <c r="AD1245" s="108">
        <v>29.010149949403576</v>
      </c>
      <c r="AE1245" s="108">
        <v>0</v>
      </c>
    </row>
    <row r="1246" spans="29:31">
      <c r="AC1246" s="108" t="s">
        <v>1802</v>
      </c>
      <c r="AD1246" s="108">
        <v>26.038759927631784</v>
      </c>
      <c r="AE1246" s="108">
        <v>0</v>
      </c>
    </row>
    <row r="1247" spans="29:31">
      <c r="AC1247" s="108" t="s">
        <v>1803</v>
      </c>
      <c r="AD1247" s="108">
        <v>25.361074484069793</v>
      </c>
      <c r="AE1247" s="108">
        <v>0</v>
      </c>
    </row>
    <row r="1248" spans="29:31">
      <c r="AC1248" s="108" t="s">
        <v>1804</v>
      </c>
      <c r="AD1248" s="108">
        <v>23.32801815338383</v>
      </c>
      <c r="AE1248" s="108">
        <v>0</v>
      </c>
    </row>
    <row r="1249" spans="29:31">
      <c r="AC1249" s="108" t="s">
        <v>1807</v>
      </c>
      <c r="AD1249" s="108">
        <v>-117.92186685474226</v>
      </c>
      <c r="AE1249" s="108">
        <v>-2</v>
      </c>
    </row>
  </sheetData>
  <autoFilter ref="AH43:AJ98" xr:uid="{25FB4332-1D2C-4624-93A5-688E1B7D8CE1}">
    <sortState xmlns:xlrd2="http://schemas.microsoft.com/office/spreadsheetml/2017/richdata2" ref="AH44:AJ98">
      <sortCondition descending="1" ref="AI43:AI98"/>
    </sortState>
  </autoFilter>
  <mergeCells count="1">
    <mergeCell ref="I22:K38"/>
  </mergeCells>
  <pageMargins left="0.7" right="0.7" top="0.75" bottom="0.75" header="0.3" footer="0.3"/>
  <drawing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BEA0C6-413F-4A96-A78D-4E78949DA832}">
  <dimension ref="A2:P135"/>
  <sheetViews>
    <sheetView topLeftCell="A28" zoomScale="80" zoomScaleNormal="80" workbookViewId="0">
      <selection activeCell="C47" sqref="C47"/>
    </sheetView>
  </sheetViews>
  <sheetFormatPr baseColWidth="10" defaultColWidth="7.875" defaultRowHeight="12.75"/>
  <cols>
    <col min="1" max="2" width="7.875" style="108"/>
    <col min="3" max="3" width="10" style="108" bestFit="1" customWidth="1"/>
    <col min="4" max="5" width="8.125" style="108" bestFit="1" customWidth="1"/>
    <col min="6" max="6" width="8.125" style="108" customWidth="1"/>
    <col min="7" max="7" width="7.875" style="108"/>
    <col min="8" max="8" width="11.125" style="108" customWidth="1"/>
    <col min="9" max="11" width="9.875" style="108" customWidth="1"/>
    <col min="12" max="16384" width="7.875" style="108"/>
  </cols>
  <sheetData>
    <row r="2" spans="2:16" ht="18.75">
      <c r="B2" s="107" t="str">
        <f>[79]RO_table!B21</f>
        <v>Domestic market - product performance</v>
      </c>
    </row>
    <row r="4" spans="2:16">
      <c r="B4" s="301"/>
      <c r="C4" s="302"/>
      <c r="D4" s="302"/>
      <c r="E4" s="302"/>
      <c r="F4" s="302"/>
      <c r="G4" s="302"/>
      <c r="H4" s="302"/>
      <c r="I4" s="302"/>
      <c r="J4" s="302"/>
      <c r="K4" s="302"/>
      <c r="L4" s="302"/>
      <c r="M4" s="302"/>
      <c r="N4" s="302"/>
      <c r="O4" s="302"/>
      <c r="P4" s="303"/>
    </row>
    <row r="5" spans="2:16">
      <c r="B5" s="304"/>
      <c r="C5" s="305"/>
      <c r="D5" s="305"/>
      <c r="E5" s="305"/>
      <c r="F5" s="305"/>
      <c r="G5" s="305"/>
      <c r="H5" s="305"/>
      <c r="I5" s="305"/>
      <c r="J5" s="305"/>
      <c r="K5" s="305"/>
      <c r="L5" s="305"/>
      <c r="M5" s="305"/>
      <c r="N5" s="305"/>
      <c r="O5" s="305"/>
      <c r="P5" s="306"/>
    </row>
    <row r="6" spans="2:16">
      <c r="B6" s="304"/>
      <c r="C6" s="305"/>
      <c r="D6" s="305"/>
      <c r="E6" s="305"/>
      <c r="F6" s="305"/>
      <c r="G6" s="305"/>
      <c r="H6" s="305"/>
      <c r="I6" s="305"/>
      <c r="J6" s="305"/>
      <c r="K6" s="305"/>
      <c r="L6" s="305"/>
      <c r="M6" s="305"/>
      <c r="N6" s="305"/>
      <c r="O6" s="305"/>
      <c r="P6" s="306"/>
    </row>
    <row r="7" spans="2:16">
      <c r="B7" s="304"/>
      <c r="C7" s="305"/>
      <c r="D7" s="305"/>
      <c r="E7" s="305"/>
      <c r="F7" s="305"/>
      <c r="G7" s="305"/>
      <c r="H7" s="305"/>
      <c r="I7" s="305"/>
      <c r="J7" s="305"/>
      <c r="K7" s="305"/>
      <c r="L7" s="305"/>
      <c r="M7" s="305"/>
      <c r="N7" s="305"/>
      <c r="O7" s="305"/>
      <c r="P7" s="306"/>
    </row>
    <row r="8" spans="2:16">
      <c r="B8" s="304"/>
      <c r="C8" s="305"/>
      <c r="D8" s="305"/>
      <c r="E8" s="305"/>
      <c r="F8" s="305"/>
      <c r="G8" s="305"/>
      <c r="H8" s="305"/>
      <c r="I8" s="305"/>
      <c r="J8" s="305"/>
      <c r="K8" s="305"/>
      <c r="L8" s="305"/>
      <c r="M8" s="305"/>
      <c r="N8" s="305"/>
      <c r="O8" s="305"/>
      <c r="P8" s="306"/>
    </row>
    <row r="9" spans="2:16">
      <c r="B9" s="304"/>
      <c r="C9" s="305"/>
      <c r="D9" s="305"/>
      <c r="E9" s="305"/>
      <c r="F9" s="305"/>
      <c r="G9" s="305"/>
      <c r="H9" s="305"/>
      <c r="I9" s="305"/>
      <c r="J9" s="305"/>
      <c r="K9" s="305"/>
      <c r="L9" s="305"/>
      <c r="M9" s="305"/>
      <c r="N9" s="305"/>
      <c r="O9" s="305"/>
      <c r="P9" s="306"/>
    </row>
    <row r="10" spans="2:16">
      <c r="B10" s="304"/>
      <c r="C10" s="305"/>
      <c r="D10" s="305"/>
      <c r="E10" s="305"/>
      <c r="F10" s="305"/>
      <c r="G10" s="305"/>
      <c r="H10" s="305"/>
      <c r="I10" s="305"/>
      <c r="J10" s="305"/>
      <c r="K10" s="305"/>
      <c r="L10" s="305"/>
      <c r="M10" s="305"/>
      <c r="N10" s="305"/>
      <c r="O10" s="305"/>
      <c r="P10" s="306"/>
    </row>
    <row r="11" spans="2:16">
      <c r="B11" s="304"/>
      <c r="C11" s="305"/>
      <c r="D11" s="305"/>
      <c r="E11" s="305"/>
      <c r="F11" s="305"/>
      <c r="G11" s="305"/>
      <c r="H11" s="305"/>
      <c r="I11" s="305"/>
      <c r="J11" s="305"/>
      <c r="K11" s="305"/>
      <c r="L11" s="305"/>
      <c r="M11" s="305"/>
      <c r="N11" s="305"/>
      <c r="O11" s="305"/>
      <c r="P11" s="306"/>
    </row>
    <row r="12" spans="2:16">
      <c r="B12" s="304"/>
      <c r="C12" s="305"/>
      <c r="D12" s="305"/>
      <c r="E12" s="305"/>
      <c r="F12" s="305"/>
      <c r="G12" s="305"/>
      <c r="H12" s="305"/>
      <c r="I12" s="305"/>
      <c r="J12" s="305"/>
      <c r="K12" s="305"/>
      <c r="L12" s="305"/>
      <c r="M12" s="305"/>
      <c r="N12" s="305"/>
      <c r="O12" s="305"/>
      <c r="P12" s="306"/>
    </row>
    <row r="13" spans="2:16">
      <c r="B13" s="304"/>
      <c r="C13" s="305"/>
      <c r="D13" s="305"/>
      <c r="E13" s="305"/>
      <c r="F13" s="305"/>
      <c r="G13" s="305"/>
      <c r="H13" s="305"/>
      <c r="I13" s="305"/>
      <c r="J13" s="305"/>
      <c r="K13" s="305"/>
      <c r="L13" s="305"/>
      <c r="M13" s="305"/>
      <c r="N13" s="305"/>
      <c r="O13" s="305"/>
      <c r="P13" s="306"/>
    </row>
    <row r="14" spans="2:16">
      <c r="B14" s="304"/>
      <c r="C14" s="305"/>
      <c r="D14" s="305"/>
      <c r="E14" s="305"/>
      <c r="F14" s="305"/>
      <c r="G14" s="305"/>
      <c r="H14" s="305"/>
      <c r="I14" s="305"/>
      <c r="J14" s="305"/>
      <c r="K14" s="305"/>
      <c r="L14" s="305"/>
      <c r="M14" s="305"/>
      <c r="N14" s="305"/>
      <c r="O14" s="305"/>
      <c r="P14" s="306"/>
    </row>
    <row r="15" spans="2:16">
      <c r="B15" s="304"/>
      <c r="C15" s="305"/>
      <c r="D15" s="305"/>
      <c r="E15" s="305"/>
      <c r="F15" s="305"/>
      <c r="G15" s="305"/>
      <c r="H15" s="305"/>
      <c r="I15" s="305"/>
      <c r="J15" s="305"/>
      <c r="K15" s="305"/>
      <c r="L15" s="305"/>
      <c r="M15" s="305"/>
      <c r="N15" s="305"/>
      <c r="O15" s="305"/>
      <c r="P15" s="306"/>
    </row>
    <row r="16" spans="2:16">
      <c r="B16" s="304"/>
      <c r="C16" s="305"/>
      <c r="D16" s="305"/>
      <c r="E16" s="305"/>
      <c r="F16" s="305"/>
      <c r="G16" s="305"/>
      <c r="H16" s="305"/>
      <c r="I16" s="305"/>
      <c r="J16" s="305"/>
      <c r="K16" s="305"/>
      <c r="L16" s="305"/>
      <c r="M16" s="305"/>
      <c r="N16" s="305"/>
      <c r="O16" s="305"/>
      <c r="P16" s="306"/>
    </row>
    <row r="17" spans="2:16">
      <c r="B17" s="304"/>
      <c r="C17" s="305"/>
      <c r="D17" s="305"/>
      <c r="E17" s="305"/>
      <c r="F17" s="305"/>
      <c r="G17" s="305"/>
      <c r="H17" s="305"/>
      <c r="I17" s="305"/>
      <c r="J17" s="305"/>
      <c r="K17" s="305"/>
      <c r="L17" s="305"/>
      <c r="M17" s="305"/>
      <c r="N17" s="305"/>
      <c r="O17" s="305"/>
      <c r="P17" s="306"/>
    </row>
    <row r="18" spans="2:16">
      <c r="B18" s="304"/>
      <c r="C18" s="305"/>
      <c r="D18" s="305"/>
      <c r="E18" s="305"/>
      <c r="F18" s="305"/>
      <c r="G18" s="305"/>
      <c r="H18" s="305"/>
      <c r="I18" s="305"/>
      <c r="J18" s="305"/>
      <c r="K18" s="305"/>
      <c r="L18" s="305"/>
      <c r="M18" s="305"/>
      <c r="N18" s="305"/>
      <c r="O18" s="305"/>
      <c r="P18" s="306"/>
    </row>
    <row r="19" spans="2:16">
      <c r="B19" s="304"/>
      <c r="C19" s="305"/>
      <c r="D19" s="305"/>
      <c r="E19" s="305"/>
      <c r="F19" s="305"/>
      <c r="G19" s="305"/>
      <c r="H19" s="305"/>
      <c r="I19" s="305"/>
      <c r="J19" s="305"/>
      <c r="K19" s="305"/>
      <c r="L19" s="305"/>
      <c r="M19" s="305"/>
      <c r="N19" s="305"/>
      <c r="O19" s="305"/>
      <c r="P19" s="306"/>
    </row>
    <row r="20" spans="2:16">
      <c r="B20" s="304"/>
      <c r="C20" s="305"/>
      <c r="D20" s="305"/>
      <c r="E20" s="305"/>
      <c r="F20" s="305"/>
      <c r="G20" s="305"/>
      <c r="H20" s="305"/>
      <c r="I20" s="305"/>
      <c r="J20" s="305"/>
      <c r="K20" s="305"/>
      <c r="L20" s="305"/>
      <c r="M20" s="305"/>
      <c r="N20" s="305"/>
      <c r="O20" s="305"/>
      <c r="P20" s="306"/>
    </row>
    <row r="21" spans="2:16">
      <c r="B21" s="304"/>
      <c r="C21" s="305"/>
      <c r="D21" s="305"/>
      <c r="E21" s="305"/>
      <c r="F21" s="305"/>
      <c r="G21" s="305"/>
      <c r="H21" s="305"/>
      <c r="I21" s="305"/>
      <c r="J21" s="305"/>
      <c r="K21" s="305"/>
      <c r="L21" s="305"/>
      <c r="M21" s="305"/>
      <c r="N21" s="305"/>
      <c r="O21" s="305"/>
      <c r="P21" s="306"/>
    </row>
    <row r="22" spans="2:16">
      <c r="B22" s="304"/>
      <c r="C22" s="305"/>
      <c r="D22" s="305"/>
      <c r="E22" s="305"/>
      <c r="F22" s="305"/>
      <c r="G22" s="305"/>
      <c r="H22" s="305"/>
      <c r="I22" s="305"/>
      <c r="J22" s="305"/>
      <c r="K22" s="305"/>
      <c r="L22" s="305"/>
      <c r="M22" s="305"/>
      <c r="N22" s="305"/>
      <c r="O22" s="305"/>
      <c r="P22" s="306"/>
    </row>
    <row r="23" spans="2:16">
      <c r="B23" s="304"/>
      <c r="C23" s="305"/>
      <c r="D23" s="305"/>
      <c r="E23" s="305"/>
      <c r="F23" s="305"/>
      <c r="G23" s="305"/>
      <c r="H23" s="305"/>
      <c r="I23" s="305"/>
      <c r="J23" s="305"/>
      <c r="K23" s="305"/>
      <c r="L23" s="305"/>
      <c r="M23" s="305"/>
      <c r="N23" s="305"/>
      <c r="O23" s="305"/>
      <c r="P23" s="306"/>
    </row>
    <row r="24" spans="2:16">
      <c r="B24" s="304"/>
      <c r="C24" s="305"/>
      <c r="D24" s="305"/>
      <c r="E24" s="305"/>
      <c r="F24" s="305"/>
      <c r="G24" s="305"/>
      <c r="H24" s="305"/>
      <c r="I24" s="305"/>
      <c r="J24" s="305"/>
      <c r="K24" s="305"/>
      <c r="L24" s="305"/>
      <c r="M24" s="305"/>
      <c r="N24" s="305"/>
      <c r="O24" s="305"/>
      <c r="P24" s="306"/>
    </row>
    <row r="25" spans="2:16">
      <c r="B25" s="304"/>
      <c r="C25" s="305"/>
      <c r="D25" s="305"/>
      <c r="E25" s="305"/>
      <c r="F25" s="305"/>
      <c r="G25" s="305"/>
      <c r="H25" s="305"/>
      <c r="I25" s="305"/>
      <c r="J25" s="305"/>
      <c r="K25" s="305"/>
      <c r="L25" s="305"/>
      <c r="M25" s="305"/>
      <c r="N25" s="305"/>
      <c r="O25" s="305"/>
      <c r="P25" s="306"/>
    </row>
    <row r="26" spans="2:16">
      <c r="B26" s="304"/>
      <c r="C26" s="305"/>
      <c r="D26" s="305"/>
      <c r="E26" s="305"/>
      <c r="F26" s="305"/>
      <c r="G26" s="305"/>
      <c r="H26" s="305"/>
      <c r="I26" s="305"/>
      <c r="J26" s="305"/>
      <c r="K26" s="305"/>
      <c r="L26" s="305"/>
      <c r="M26" s="305"/>
      <c r="N26" s="305"/>
      <c r="O26" s="305"/>
      <c r="P26" s="306"/>
    </row>
    <row r="27" spans="2:16">
      <c r="B27" s="304"/>
      <c r="C27" s="305"/>
      <c r="D27" s="305"/>
      <c r="E27" s="305"/>
      <c r="F27" s="305"/>
      <c r="G27" s="305"/>
      <c r="H27" s="305"/>
      <c r="I27" s="305"/>
      <c r="J27" s="305"/>
      <c r="K27" s="305"/>
      <c r="L27" s="305"/>
      <c r="M27" s="305"/>
      <c r="N27" s="305"/>
      <c r="O27" s="305"/>
      <c r="P27" s="306"/>
    </row>
    <row r="28" spans="2:16">
      <c r="B28" s="304"/>
      <c r="C28" s="305"/>
      <c r="D28" s="305"/>
      <c r="E28" s="305"/>
      <c r="F28" s="305"/>
      <c r="G28" s="305"/>
      <c r="H28" s="305"/>
      <c r="I28" s="305"/>
      <c r="J28" s="305"/>
      <c r="K28" s="305"/>
      <c r="L28" s="305"/>
      <c r="M28" s="305"/>
      <c r="N28" s="305"/>
      <c r="O28" s="305"/>
      <c r="P28" s="306"/>
    </row>
    <row r="29" spans="2:16">
      <c r="B29" s="304"/>
      <c r="C29" s="305"/>
      <c r="D29" s="305"/>
      <c r="E29" s="305"/>
      <c r="F29" s="305"/>
      <c r="G29" s="305"/>
      <c r="H29" s="305"/>
      <c r="I29" s="305"/>
      <c r="J29" s="305"/>
      <c r="K29" s="305"/>
      <c r="L29" s="305"/>
      <c r="M29" s="305"/>
      <c r="N29" s="305"/>
      <c r="O29" s="305"/>
      <c r="P29" s="306"/>
    </row>
    <row r="30" spans="2:16">
      <c r="B30" s="304"/>
      <c r="C30" s="305"/>
      <c r="D30" s="305"/>
      <c r="E30" s="305"/>
      <c r="F30" s="305"/>
      <c r="G30" s="305"/>
      <c r="H30" s="305"/>
      <c r="I30" s="305"/>
      <c r="J30" s="305"/>
      <c r="K30" s="305"/>
      <c r="L30" s="305"/>
      <c r="M30" s="305"/>
      <c r="N30" s="305"/>
      <c r="O30" s="305"/>
      <c r="P30" s="306"/>
    </row>
    <row r="31" spans="2:16">
      <c r="B31" s="304"/>
      <c r="C31" s="305"/>
      <c r="D31" s="305"/>
      <c r="E31" s="305"/>
      <c r="F31" s="305"/>
      <c r="G31" s="305"/>
      <c r="H31" s="305"/>
      <c r="I31" s="305"/>
      <c r="J31" s="305"/>
      <c r="K31" s="305"/>
      <c r="L31" s="305"/>
      <c r="M31" s="305"/>
      <c r="N31" s="305"/>
      <c r="O31" s="305"/>
      <c r="P31" s="306"/>
    </row>
    <row r="32" spans="2:16">
      <c r="B32" s="304"/>
      <c r="C32" s="305"/>
      <c r="D32" s="305"/>
      <c r="E32" s="305"/>
      <c r="F32" s="305"/>
      <c r="G32" s="305"/>
      <c r="H32" s="305"/>
      <c r="I32" s="305"/>
      <c r="J32" s="305"/>
      <c r="K32" s="305"/>
      <c r="L32" s="305"/>
      <c r="M32" s="305"/>
      <c r="N32" s="305"/>
      <c r="O32" s="305"/>
      <c r="P32" s="306"/>
    </row>
    <row r="33" spans="1:16">
      <c r="B33" s="304"/>
      <c r="C33" s="305"/>
      <c r="D33" s="305"/>
      <c r="E33" s="305"/>
      <c r="F33" s="305"/>
      <c r="G33" s="305"/>
      <c r="H33" s="305"/>
      <c r="I33" s="305"/>
      <c r="J33" s="305"/>
      <c r="K33" s="305"/>
      <c r="L33" s="305"/>
      <c r="M33" s="305"/>
      <c r="N33" s="305"/>
      <c r="O33" s="305"/>
      <c r="P33" s="306"/>
    </row>
    <row r="34" spans="1:16">
      <c r="B34" s="308"/>
      <c r="C34" s="309"/>
      <c r="D34" s="309"/>
      <c r="E34" s="309"/>
      <c r="F34" s="309"/>
      <c r="G34" s="309"/>
      <c r="H34" s="309"/>
      <c r="I34" s="309"/>
      <c r="J34" s="309"/>
      <c r="K34" s="309"/>
      <c r="L34" s="309"/>
      <c r="M34" s="309"/>
      <c r="N34" s="309"/>
      <c r="O34" s="309"/>
      <c r="P34" s="310"/>
    </row>
    <row r="37" spans="1:16" s="690" customFormat="1" ht="76.5">
      <c r="A37" s="688"/>
      <c r="B37" s="688"/>
      <c r="C37" s="689" t="s">
        <v>459</v>
      </c>
      <c r="D37" s="689" t="s">
        <v>461</v>
      </c>
      <c r="I37" s="311" t="s">
        <v>459</v>
      </c>
      <c r="J37" s="311" t="s">
        <v>1827</v>
      </c>
      <c r="K37" s="311" t="s">
        <v>1808</v>
      </c>
    </row>
    <row r="38" spans="1:16">
      <c r="A38" s="686"/>
      <c r="B38" s="686" t="s">
        <v>627</v>
      </c>
      <c r="C38" s="687">
        <v>21224</v>
      </c>
      <c r="D38" s="687">
        <v>1193.35863502296</v>
      </c>
      <c r="G38" s="151"/>
      <c r="H38" s="108" t="s">
        <v>627</v>
      </c>
      <c r="I38" s="127">
        <v>21224</v>
      </c>
      <c r="J38" s="127">
        <v>183.35575333631138</v>
      </c>
      <c r="K38" s="508">
        <f>VLOOKUP(H38,$H$56:$I$136,2,FALSE)</f>
        <v>190.82300000000001</v>
      </c>
      <c r="L38" s="508">
        <f>J38-K38</f>
        <v>-7.467246663688627</v>
      </c>
      <c r="M38" s="509">
        <f>+L38/K38</f>
        <v>-3.9131795767222123E-2</v>
      </c>
    </row>
    <row r="39" spans="1:16" ht="13.7" customHeight="1">
      <c r="A39" s="686"/>
      <c r="B39" s="686" t="s">
        <v>630</v>
      </c>
      <c r="C39" s="687">
        <v>19851</v>
      </c>
      <c r="D39" s="687">
        <v>966.88413462429594</v>
      </c>
      <c r="G39" s="151"/>
      <c r="H39" s="108" t="s">
        <v>630</v>
      </c>
      <c r="I39" s="127">
        <v>19851</v>
      </c>
      <c r="J39" s="127">
        <v>158.83376973501731</v>
      </c>
      <c r="K39" s="508">
        <f t="shared" ref="K39:K51" si="0">VLOOKUP(H39,$H$56:$I$136,2,FALSE)</f>
        <v>163.46899999999999</v>
      </c>
      <c r="L39" s="508">
        <f t="shared" ref="L39:L51" si="1">J39-K39</f>
        <v>-4.6352302649826811</v>
      </c>
      <c r="M39" s="509">
        <f t="shared" ref="M39:M51" si="2">+L39/K39</f>
        <v>-2.835540845654333E-2</v>
      </c>
    </row>
    <row r="40" spans="1:16" ht="14.45" customHeight="1">
      <c r="A40" s="686"/>
      <c r="B40" s="686" t="s">
        <v>633</v>
      </c>
      <c r="C40" s="687">
        <v>13586</v>
      </c>
      <c r="D40" s="687">
        <v>920.08292356057029</v>
      </c>
      <c r="G40" s="151"/>
      <c r="H40" s="108" t="s">
        <v>633</v>
      </c>
      <c r="I40" s="127">
        <v>13586</v>
      </c>
      <c r="J40" s="127">
        <v>220.84428188804796</v>
      </c>
      <c r="K40" s="508">
        <f t="shared" si="0"/>
        <v>233.06299999999999</v>
      </c>
      <c r="L40" s="508">
        <f t="shared" si="1"/>
        <v>-12.218718111952029</v>
      </c>
      <c r="M40" s="509">
        <f t="shared" si="2"/>
        <v>-5.2426674813042091E-2</v>
      </c>
    </row>
    <row r="41" spans="1:16">
      <c r="A41" s="686"/>
      <c r="B41" s="686" t="s">
        <v>636</v>
      </c>
      <c r="C41" s="687">
        <v>20151</v>
      </c>
      <c r="D41" s="687">
        <v>882.04573289379312</v>
      </c>
      <c r="G41" s="151"/>
      <c r="H41" s="108" t="s">
        <v>636</v>
      </c>
      <c r="I41" s="127">
        <v>20151</v>
      </c>
      <c r="J41" s="127">
        <v>142.73987072436404</v>
      </c>
      <c r="K41" s="508">
        <f t="shared" si="0"/>
        <v>149.59</v>
      </c>
      <c r="L41" s="508">
        <f t="shared" si="1"/>
        <v>-6.8501292756359646</v>
      </c>
      <c r="M41" s="509">
        <f t="shared" si="2"/>
        <v>-4.57926952044653E-2</v>
      </c>
    </row>
    <row r="42" spans="1:16">
      <c r="A42" s="686"/>
      <c r="B42" s="686" t="s">
        <v>639</v>
      </c>
      <c r="C42" s="687">
        <v>16229</v>
      </c>
      <c r="D42" s="687">
        <v>772.39440443919909</v>
      </c>
      <c r="G42" s="151"/>
      <c r="H42" s="108" t="s">
        <v>639</v>
      </c>
      <c r="I42" s="127">
        <v>16229</v>
      </c>
      <c r="J42" s="127">
        <v>155.20230161292923</v>
      </c>
      <c r="K42" s="508">
        <f t="shared" si="0"/>
        <v>158.27000000000001</v>
      </c>
      <c r="L42" s="508">
        <f t="shared" si="1"/>
        <v>-3.0676983870707772</v>
      </c>
      <c r="M42" s="509">
        <f t="shared" si="2"/>
        <v>-1.9382690257602687E-2</v>
      </c>
    </row>
    <row r="43" spans="1:16">
      <c r="A43" s="686"/>
      <c r="B43" s="686" t="s">
        <v>642</v>
      </c>
      <c r="C43" s="687">
        <v>6766</v>
      </c>
      <c r="D43" s="687">
        <v>736.47276613719168</v>
      </c>
      <c r="G43" s="151"/>
      <c r="H43" s="108" t="s">
        <v>642</v>
      </c>
      <c r="I43" s="127">
        <v>6766</v>
      </c>
      <c r="J43" s="127">
        <v>354.9567972765862</v>
      </c>
      <c r="K43" s="508">
        <f t="shared" si="0"/>
        <v>375.32499999999999</v>
      </c>
      <c r="L43" s="508">
        <f t="shared" si="1"/>
        <v>-20.368202723413788</v>
      </c>
      <c r="M43" s="509">
        <f t="shared" si="2"/>
        <v>-5.4268174844238432E-2</v>
      </c>
    </row>
    <row r="44" spans="1:16">
      <c r="A44" s="686"/>
      <c r="B44" s="686" t="s">
        <v>644</v>
      </c>
      <c r="C44" s="687">
        <v>15254</v>
      </c>
      <c r="D44" s="687">
        <v>594.36305148570261</v>
      </c>
      <c r="G44" s="151"/>
      <c r="H44" s="108" t="s">
        <v>644</v>
      </c>
      <c r="I44" s="127">
        <v>15254</v>
      </c>
      <c r="J44" s="127">
        <v>127.06292847088477</v>
      </c>
      <c r="K44" s="508">
        <f t="shared" si="0"/>
        <v>133.64599999999999</v>
      </c>
      <c r="L44" s="508">
        <f t="shared" si="1"/>
        <v>-6.583071529115216</v>
      </c>
      <c r="M44" s="509">
        <f t="shared" si="2"/>
        <v>-4.9257527566221336E-2</v>
      </c>
    </row>
    <row r="45" spans="1:16">
      <c r="A45" s="686"/>
      <c r="B45" s="686" t="s">
        <v>648</v>
      </c>
      <c r="C45" s="687">
        <v>5519</v>
      </c>
      <c r="D45" s="687">
        <v>545.34757510451891</v>
      </c>
      <c r="G45" s="151"/>
      <c r="H45" s="108" t="s">
        <v>648</v>
      </c>
      <c r="I45" s="127">
        <v>5519</v>
      </c>
      <c r="J45" s="127">
        <v>322.2283823909832</v>
      </c>
      <c r="K45" s="508">
        <f t="shared" si="0"/>
        <v>341.25400000000002</v>
      </c>
      <c r="L45" s="508">
        <f t="shared" si="1"/>
        <v>-19.02561760901682</v>
      </c>
      <c r="M45" s="509">
        <f t="shared" si="2"/>
        <v>-5.5752072090046761E-2</v>
      </c>
    </row>
    <row r="46" spans="1:16">
      <c r="A46" s="686"/>
      <c r="B46" s="686" t="s">
        <v>646</v>
      </c>
      <c r="C46" s="687">
        <v>10824</v>
      </c>
      <c r="D46" s="687">
        <v>499.56867984422166</v>
      </c>
      <c r="G46" s="151"/>
      <c r="H46" s="108" t="s">
        <v>646</v>
      </c>
      <c r="I46" s="127">
        <v>10824</v>
      </c>
      <c r="J46" s="127">
        <v>150.50752632779074</v>
      </c>
      <c r="K46" s="508">
        <f t="shared" si="0"/>
        <v>158.642</v>
      </c>
      <c r="L46" s="508">
        <f t="shared" si="1"/>
        <v>-8.1344736722092534</v>
      </c>
      <c r="M46" s="509">
        <f t="shared" si="2"/>
        <v>-5.1275662637947417E-2</v>
      </c>
    </row>
    <row r="47" spans="1:16">
      <c r="A47" s="686"/>
      <c r="B47" s="686" t="s">
        <v>650</v>
      </c>
      <c r="C47" s="687">
        <v>13796</v>
      </c>
      <c r="D47" s="687">
        <v>487.08630640988497</v>
      </c>
      <c r="G47" s="151"/>
      <c r="H47" s="108" t="s">
        <v>650</v>
      </c>
      <c r="I47" s="127">
        <v>13796</v>
      </c>
      <c r="J47" s="127">
        <v>115.13398414052152</v>
      </c>
      <c r="K47" s="508">
        <f t="shared" si="0"/>
        <v>116.11799999999999</v>
      </c>
      <c r="L47" s="508">
        <f t="shared" si="1"/>
        <v>-0.98401585947847536</v>
      </c>
      <c r="M47" s="509">
        <f t="shared" si="2"/>
        <v>-8.4742749571855812E-3</v>
      </c>
    </row>
    <row r="48" spans="1:16">
      <c r="A48" s="686"/>
      <c r="B48" s="686" t="s">
        <v>651</v>
      </c>
      <c r="C48" s="687">
        <v>10956</v>
      </c>
      <c r="D48" s="687">
        <v>460.51111033086642</v>
      </c>
      <c r="G48" s="151"/>
      <c r="H48" s="108" t="s">
        <v>651</v>
      </c>
      <c r="I48" s="127">
        <v>10956</v>
      </c>
      <c r="J48" s="127">
        <v>137.06888743966368</v>
      </c>
      <c r="K48" s="508">
        <f t="shared" si="0"/>
        <v>143.39599999999999</v>
      </c>
      <c r="L48" s="508">
        <f t="shared" si="1"/>
        <v>-6.3271125603363032</v>
      </c>
      <c r="M48" s="509">
        <f t="shared" si="2"/>
        <v>-4.412335462869469E-2</v>
      </c>
    </row>
    <row r="49" spans="1:13">
      <c r="A49" s="686"/>
      <c r="B49" s="686" t="s">
        <v>653</v>
      </c>
      <c r="C49" s="687">
        <v>5276</v>
      </c>
      <c r="D49" s="687">
        <v>400.8605230556152</v>
      </c>
      <c r="G49" s="151"/>
      <c r="H49" s="108" t="s">
        <v>653</v>
      </c>
      <c r="I49" s="127">
        <v>5276</v>
      </c>
      <c r="J49" s="127">
        <v>247.7646257930935</v>
      </c>
      <c r="K49" s="508">
        <f t="shared" si="0"/>
        <v>260.85500000000002</v>
      </c>
      <c r="L49" s="508">
        <f t="shared" si="1"/>
        <v>-13.090374206906517</v>
      </c>
      <c r="M49" s="509">
        <f t="shared" si="2"/>
        <v>-5.018256965328062E-2</v>
      </c>
    </row>
    <row r="50" spans="1:13">
      <c r="A50" s="686"/>
      <c r="B50" s="686" t="s">
        <v>655</v>
      </c>
      <c r="C50" s="687">
        <v>2650</v>
      </c>
      <c r="D50" s="687">
        <v>332.61460713256218</v>
      </c>
      <c r="G50" s="151"/>
      <c r="H50" s="108" t="s">
        <v>655</v>
      </c>
      <c r="I50" s="127">
        <v>2650</v>
      </c>
      <c r="J50" s="127">
        <v>409.3042391921831</v>
      </c>
      <c r="K50" s="508">
        <f t="shared" si="0"/>
        <v>425.82900000000001</v>
      </c>
      <c r="L50" s="508">
        <f t="shared" si="1"/>
        <v>-16.524760807816904</v>
      </c>
      <c r="M50" s="509">
        <f t="shared" si="2"/>
        <v>-3.8806095422850261E-2</v>
      </c>
    </row>
    <row r="51" spans="1:13">
      <c r="A51" s="686"/>
      <c r="B51" s="686" t="s">
        <v>657</v>
      </c>
      <c r="C51" s="687">
        <v>3922</v>
      </c>
      <c r="D51" s="687">
        <v>299.84410444328739</v>
      </c>
      <c r="G51" s="151"/>
      <c r="H51" s="108" t="s">
        <v>657</v>
      </c>
      <c r="I51" s="127">
        <v>3922</v>
      </c>
      <c r="J51" s="127">
        <v>249.30944023191233</v>
      </c>
      <c r="K51" s="508">
        <f t="shared" si="0"/>
        <v>255.69499999999999</v>
      </c>
      <c r="L51" s="508">
        <f t="shared" si="1"/>
        <v>-6.3855597680876599</v>
      </c>
      <c r="M51" s="509">
        <f t="shared" si="2"/>
        <v>-2.4973346244891999E-2</v>
      </c>
    </row>
    <row r="52" spans="1:13" ht="13.5" thickBot="1">
      <c r="B52" s="108" t="s">
        <v>119</v>
      </c>
      <c r="C52" s="654">
        <f>SUM(C38:C51)</f>
        <v>166004</v>
      </c>
      <c r="D52" s="654">
        <f>SUM(D38:D51)</f>
        <v>9091.4345544846692</v>
      </c>
    </row>
    <row r="53" spans="1:13" ht="13.5" thickTop="1"/>
    <row r="54" spans="1:13">
      <c r="B54" s="108" t="s">
        <v>503</v>
      </c>
      <c r="C54" s="108">
        <v>214158</v>
      </c>
      <c r="D54" s="119">
        <v>12022</v>
      </c>
    </row>
    <row r="55" spans="1:13" ht="15.75">
      <c r="B55" s="1295" t="s">
        <v>504</v>
      </c>
      <c r="C55" s="122">
        <f>C52/C54</f>
        <v>0.77514732113673079</v>
      </c>
      <c r="D55" s="122">
        <f>D52/D54</f>
        <v>0.75623311882254773</v>
      </c>
      <c r="E55" s="122"/>
      <c r="F55" s="122"/>
    </row>
    <row r="56" spans="1:13">
      <c r="B56" s="1295"/>
    </row>
    <row r="57" spans="1:13" ht="15">
      <c r="H57" s="655"/>
      <c r="I57" s="656">
        <v>0.09</v>
      </c>
    </row>
    <row r="58" spans="1:13" ht="16.5" thickBot="1">
      <c r="A58" s="108" t="s">
        <v>505</v>
      </c>
      <c r="B58" s="108" t="s">
        <v>506</v>
      </c>
      <c r="C58" s="122">
        <f>+C54/C62</f>
        <v>1.0570483711747285</v>
      </c>
      <c r="H58" s="655"/>
      <c r="I58" s="657"/>
    </row>
    <row r="59" spans="1:13" ht="78.599999999999994" customHeight="1">
      <c r="B59" s="108" t="s">
        <v>507</v>
      </c>
      <c r="C59" s="122">
        <f>1-C58</f>
        <v>-5.7048371174728496E-2</v>
      </c>
      <c r="H59" s="658"/>
      <c r="I59" s="1296" t="s">
        <v>1809</v>
      </c>
    </row>
    <row r="60" spans="1:13" ht="14.45" customHeight="1" thickBot="1">
      <c r="H60" s="659" t="s">
        <v>1810</v>
      </c>
      <c r="I60" s="1297"/>
    </row>
    <row r="61" spans="1:13">
      <c r="H61" s="660" t="s">
        <v>665</v>
      </c>
      <c r="I61" s="661">
        <v>542.55799999999999</v>
      </c>
    </row>
    <row r="62" spans="1:13" ht="15">
      <c r="B62" s="108" t="s">
        <v>1828</v>
      </c>
      <c r="C62" s="108">
        <v>202600</v>
      </c>
      <c r="H62" s="662" t="s">
        <v>1811</v>
      </c>
      <c r="I62" s="663"/>
    </row>
    <row r="63" spans="1:13" ht="13.5" thickBot="1">
      <c r="H63" s="662" t="s">
        <v>1812</v>
      </c>
      <c r="I63" s="662"/>
    </row>
    <row r="64" spans="1:13" ht="13.5" thickBot="1">
      <c r="H64" s="660" t="s">
        <v>683</v>
      </c>
      <c r="I64" s="661">
        <v>145.77199999999999</v>
      </c>
    </row>
    <row r="65" spans="8:9" ht="13.5" thickBot="1">
      <c r="H65" s="660" t="s">
        <v>731</v>
      </c>
      <c r="I65" s="661">
        <v>137.161</v>
      </c>
    </row>
    <row r="66" spans="8:9" ht="13.5" thickBot="1">
      <c r="H66" s="660" t="s">
        <v>707</v>
      </c>
      <c r="I66" s="661">
        <v>165.768</v>
      </c>
    </row>
    <row r="67" spans="8:9" ht="13.5" thickBot="1">
      <c r="H67" s="660" t="s">
        <v>725</v>
      </c>
      <c r="I67" s="661">
        <v>168.98500000000001</v>
      </c>
    </row>
    <row r="68" spans="8:9" ht="13.5" thickBot="1">
      <c r="H68" s="660" t="s">
        <v>661</v>
      </c>
      <c r="I68" s="661">
        <v>195.739</v>
      </c>
    </row>
    <row r="69" spans="8:9" ht="13.5" thickBot="1">
      <c r="H69" s="660" t="s">
        <v>699</v>
      </c>
      <c r="I69" s="661">
        <v>199.92400000000001</v>
      </c>
    </row>
    <row r="70" spans="8:9" ht="13.5" thickBot="1">
      <c r="H70" s="660" t="s">
        <v>671</v>
      </c>
      <c r="I70" s="661">
        <v>267.59399999999999</v>
      </c>
    </row>
    <row r="71" spans="8:9" ht="13.5" thickBot="1">
      <c r="H71" s="660" t="s">
        <v>685</v>
      </c>
      <c r="I71" s="661">
        <v>268.16800000000001</v>
      </c>
    </row>
    <row r="72" spans="8:9" ht="13.5" thickBot="1">
      <c r="H72" s="664" t="s">
        <v>677</v>
      </c>
      <c r="I72" s="661">
        <v>129.01499999999999</v>
      </c>
    </row>
    <row r="73" spans="8:9" ht="13.5" thickBot="1">
      <c r="H73" s="664" t="s">
        <v>691</v>
      </c>
      <c r="I73" s="661">
        <v>133.41300000000001</v>
      </c>
    </row>
    <row r="74" spans="8:9" ht="13.5" thickBot="1">
      <c r="H74" s="664" t="s">
        <v>659</v>
      </c>
      <c r="I74" s="661">
        <v>163.22499999999999</v>
      </c>
    </row>
    <row r="75" spans="8:9" ht="13.5" thickBot="1">
      <c r="H75" s="664" t="s">
        <v>705</v>
      </c>
      <c r="I75" s="661">
        <v>161.958</v>
      </c>
    </row>
    <row r="76" spans="8:9" ht="13.5" thickBot="1">
      <c r="H76" s="664" t="s">
        <v>663</v>
      </c>
      <c r="I76" s="661">
        <v>184.547</v>
      </c>
    </row>
    <row r="77" spans="8:9" ht="13.5" thickBot="1">
      <c r="H77" s="664" t="s">
        <v>701</v>
      </c>
      <c r="I77" s="661">
        <v>185.77</v>
      </c>
    </row>
    <row r="78" spans="8:9" ht="13.5" thickBot="1">
      <c r="H78" s="664" t="s">
        <v>646</v>
      </c>
      <c r="I78" s="661">
        <v>158.642</v>
      </c>
    </row>
    <row r="79" spans="8:9" ht="13.5" thickBot="1">
      <c r="H79" s="664" t="s">
        <v>715</v>
      </c>
      <c r="I79" s="661">
        <v>187.863</v>
      </c>
    </row>
    <row r="80" spans="8:9" ht="13.5" thickBot="1">
      <c r="H80" s="664" t="s">
        <v>667</v>
      </c>
      <c r="I80" s="661">
        <v>250.58</v>
      </c>
    </row>
    <row r="81" spans="8:9" ht="13.5" thickBot="1">
      <c r="H81" s="664" t="s">
        <v>681</v>
      </c>
      <c r="I81" s="661">
        <v>254.238</v>
      </c>
    </row>
    <row r="82" spans="8:9" ht="13.5" thickBot="1">
      <c r="H82" s="664" t="s">
        <v>679</v>
      </c>
      <c r="I82" s="661">
        <v>277.97800000000001</v>
      </c>
    </row>
    <row r="83" spans="8:9">
      <c r="H83" s="664" t="s">
        <v>675</v>
      </c>
      <c r="I83" s="661">
        <v>304.46199999999999</v>
      </c>
    </row>
    <row r="84" spans="8:9" ht="15">
      <c r="H84" s="665" t="s">
        <v>1813</v>
      </c>
      <c r="I84" s="666"/>
    </row>
    <row r="85" spans="8:9" ht="13.5" thickBot="1">
      <c r="H85" s="665" t="s">
        <v>1812</v>
      </c>
      <c r="I85" s="665"/>
    </row>
    <row r="86" spans="8:9" ht="15.75" thickBot="1">
      <c r="H86" s="667" t="s">
        <v>644</v>
      </c>
      <c r="I86" s="661">
        <v>133.64599999999999</v>
      </c>
    </row>
    <row r="87" spans="8:9" ht="15.75" thickBot="1">
      <c r="H87" s="667" t="s">
        <v>630</v>
      </c>
      <c r="I87" s="661">
        <v>163.46899999999999</v>
      </c>
    </row>
    <row r="88" spans="8:9" ht="15.75" thickBot="1">
      <c r="H88" s="667" t="s">
        <v>627</v>
      </c>
      <c r="I88" s="661">
        <v>190.82300000000001</v>
      </c>
    </row>
    <row r="89" spans="8:9" ht="15.75" thickBot="1">
      <c r="H89" s="667" t="s">
        <v>657</v>
      </c>
      <c r="I89" s="661">
        <v>255.69499999999999</v>
      </c>
    </row>
    <row r="90" spans="8:9" ht="15">
      <c r="H90" s="667" t="s">
        <v>687</v>
      </c>
      <c r="I90" s="661">
        <v>377.58600000000001</v>
      </c>
    </row>
    <row r="91" spans="8:9" ht="15">
      <c r="H91" s="668" t="s">
        <v>1814</v>
      </c>
      <c r="I91" s="669"/>
    </row>
    <row r="92" spans="8:9" ht="13.5" thickBot="1">
      <c r="H92" s="668" t="s">
        <v>1812</v>
      </c>
      <c r="I92" s="668"/>
    </row>
    <row r="93" spans="8:9" ht="13.5" thickBot="1">
      <c r="H93" s="670" t="s">
        <v>719</v>
      </c>
      <c r="I93" s="661">
        <v>271.798</v>
      </c>
    </row>
    <row r="94" spans="8:9" ht="13.5" thickBot="1">
      <c r="H94" s="670" t="s">
        <v>717</v>
      </c>
      <c r="I94" s="661">
        <v>312.94900000000001</v>
      </c>
    </row>
    <row r="95" spans="8:9">
      <c r="H95" s="670" t="s">
        <v>733</v>
      </c>
      <c r="I95" s="661">
        <v>411.32</v>
      </c>
    </row>
    <row r="96" spans="8:9">
      <c r="H96" s="671" t="s">
        <v>1815</v>
      </c>
      <c r="I96" s="672"/>
    </row>
    <row r="97" spans="8:9" ht="13.5" thickBot="1">
      <c r="H97" s="671" t="s">
        <v>1812</v>
      </c>
      <c r="I97" s="672"/>
    </row>
    <row r="98" spans="8:9" ht="13.5" thickBot="1">
      <c r="H98" s="664" t="s">
        <v>1816</v>
      </c>
      <c r="I98" s="661">
        <v>305.745</v>
      </c>
    </row>
    <row r="99" spans="8:9" ht="13.5" thickBot="1">
      <c r="H99" s="664" t="s">
        <v>650</v>
      </c>
      <c r="I99" s="661">
        <v>116.11799999999999</v>
      </c>
    </row>
    <row r="100" spans="8:9" ht="13.5" thickBot="1">
      <c r="H100" s="664" t="s">
        <v>709</v>
      </c>
      <c r="I100" s="661">
        <v>114.988</v>
      </c>
    </row>
    <row r="101" spans="8:9" ht="13.5" thickBot="1">
      <c r="H101" s="664" t="s">
        <v>713</v>
      </c>
      <c r="I101" s="661">
        <v>115.34</v>
      </c>
    </row>
    <row r="102" spans="8:9" ht="13.5" thickBot="1">
      <c r="H102" s="664" t="s">
        <v>651</v>
      </c>
      <c r="I102" s="661">
        <v>143.39599999999999</v>
      </c>
    </row>
    <row r="103" spans="8:9" ht="13.5" thickBot="1">
      <c r="H103" s="664" t="s">
        <v>721</v>
      </c>
      <c r="I103" s="661">
        <v>141.94</v>
      </c>
    </row>
    <row r="104" spans="8:9" ht="13.5" thickBot="1">
      <c r="H104" s="664" t="s">
        <v>727</v>
      </c>
      <c r="I104" s="661">
        <v>145.173</v>
      </c>
    </row>
    <row r="105" spans="8:9" ht="13.5" thickBot="1">
      <c r="H105" s="664" t="s">
        <v>639</v>
      </c>
      <c r="I105" s="661">
        <v>158.27000000000001</v>
      </c>
    </row>
    <row r="106" spans="8:9" ht="13.5" thickBot="1">
      <c r="H106" s="664" t="s">
        <v>729</v>
      </c>
      <c r="I106" s="661">
        <v>172.464</v>
      </c>
    </row>
    <row r="107" spans="8:9" ht="13.5" thickBot="1">
      <c r="H107" s="664" t="s">
        <v>669</v>
      </c>
      <c r="I107" s="661">
        <v>235.846</v>
      </c>
    </row>
    <row r="108" spans="8:9" ht="13.5" thickBot="1">
      <c r="H108" s="664" t="s">
        <v>636</v>
      </c>
      <c r="I108" s="661">
        <v>149.59</v>
      </c>
    </row>
    <row r="109" spans="8:9" ht="13.5" thickBot="1">
      <c r="H109" s="664" t="s">
        <v>633</v>
      </c>
      <c r="I109" s="661">
        <v>233.06299999999999</v>
      </c>
    </row>
    <row r="110" spans="8:9">
      <c r="H110" s="664" t="s">
        <v>653</v>
      </c>
      <c r="I110" s="661">
        <v>260.85500000000002</v>
      </c>
    </row>
    <row r="111" spans="8:9" ht="15.75">
      <c r="H111" s="673" t="s">
        <v>1817</v>
      </c>
      <c r="I111" s="674"/>
    </row>
    <row r="112" spans="8:9" ht="13.5" thickBot="1">
      <c r="H112" s="675" t="s">
        <v>1812</v>
      </c>
      <c r="I112" s="675"/>
    </row>
    <row r="113" spans="8:9" ht="13.5" thickBot="1">
      <c r="H113" s="664" t="s">
        <v>648</v>
      </c>
      <c r="I113" s="661">
        <v>341.25400000000002</v>
      </c>
    </row>
    <row r="114" spans="8:9" ht="13.5" thickBot="1">
      <c r="H114" s="664" t="s">
        <v>735</v>
      </c>
      <c r="I114" s="661">
        <v>453.69799999999998</v>
      </c>
    </row>
    <row r="115" spans="8:9" ht="13.5" thickBot="1">
      <c r="H115" s="664" t="s">
        <v>642</v>
      </c>
      <c r="I115" s="661">
        <v>375.32499999999999</v>
      </c>
    </row>
    <row r="116" spans="8:9" ht="13.5" thickBot="1">
      <c r="H116" s="664" t="s">
        <v>737</v>
      </c>
      <c r="I116" s="661">
        <v>526.86500000000001</v>
      </c>
    </row>
    <row r="117" spans="8:9" ht="13.5" thickBot="1">
      <c r="H117" s="664" t="s">
        <v>655</v>
      </c>
      <c r="I117" s="661">
        <v>425.82900000000001</v>
      </c>
    </row>
    <row r="118" spans="8:9" ht="13.5" thickBot="1">
      <c r="H118" s="664" t="s">
        <v>673</v>
      </c>
      <c r="I118" s="661">
        <v>495.863</v>
      </c>
    </row>
    <row r="119" spans="8:9" ht="13.5" thickBot="1">
      <c r="H119" s="664" t="s">
        <v>1818</v>
      </c>
      <c r="I119" s="661">
        <v>644.399</v>
      </c>
    </row>
    <row r="120" spans="8:9" ht="13.5" thickBot="1">
      <c r="H120" s="664" t="s">
        <v>689</v>
      </c>
      <c r="I120" s="661">
        <v>542.55799999999999</v>
      </c>
    </row>
    <row r="121" spans="8:9">
      <c r="H121" s="664" t="s">
        <v>697</v>
      </c>
      <c r="I121" s="661">
        <v>509.31599999999997</v>
      </c>
    </row>
    <row r="122" spans="8:9" ht="15">
      <c r="H122" s="676" t="s">
        <v>1819</v>
      </c>
      <c r="I122" s="677"/>
    </row>
    <row r="123" spans="8:9">
      <c r="H123" s="676" t="s">
        <v>1812</v>
      </c>
      <c r="I123" s="676"/>
    </row>
    <row r="124" spans="8:9">
      <c r="H124" s="664" t="s">
        <v>1820</v>
      </c>
      <c r="I124" s="678"/>
    </row>
    <row r="125" spans="8:9">
      <c r="H125" s="664" t="s">
        <v>1821</v>
      </c>
      <c r="I125" s="678"/>
    </row>
    <row r="126" spans="8:9">
      <c r="H126" s="679" t="s">
        <v>1822</v>
      </c>
      <c r="I126" s="678"/>
    </row>
    <row r="127" spans="8:9" ht="13.5" thickBot="1">
      <c r="H127" s="680" t="s">
        <v>1823</v>
      </c>
      <c r="I127" s="678"/>
    </row>
    <row r="128" spans="8:9" ht="15.75" thickBot="1">
      <c r="H128" s="667" t="s">
        <v>693</v>
      </c>
      <c r="I128" s="661">
        <v>157.64699999999999</v>
      </c>
    </row>
    <row r="129" spans="8:9" ht="15.75" thickBot="1">
      <c r="H129" s="667" t="s">
        <v>703</v>
      </c>
      <c r="I129" s="661">
        <v>185.27799999999999</v>
      </c>
    </row>
    <row r="130" spans="8:9" ht="15.75" thickBot="1">
      <c r="H130" s="667" t="s">
        <v>695</v>
      </c>
      <c r="I130" s="661">
        <v>177.35300000000001</v>
      </c>
    </row>
    <row r="131" spans="8:9" ht="15">
      <c r="H131" s="667" t="s">
        <v>711</v>
      </c>
      <c r="I131" s="661">
        <v>255.66499999999999</v>
      </c>
    </row>
    <row r="132" spans="8:9" ht="15">
      <c r="H132" s="681" t="s">
        <v>1824</v>
      </c>
      <c r="I132" s="682"/>
    </row>
    <row r="133" spans="8:9">
      <c r="H133" s="680" t="s">
        <v>1812</v>
      </c>
      <c r="I133" s="680"/>
    </row>
    <row r="134" spans="8:9" ht="13.5" thickBot="1">
      <c r="H134" s="683"/>
      <c r="I134" s="678"/>
    </row>
    <row r="135" spans="8:9" ht="15.75" thickBot="1">
      <c r="H135" s="684" t="s">
        <v>119</v>
      </c>
      <c r="I135" s="685"/>
    </row>
  </sheetData>
  <mergeCells count="2">
    <mergeCell ref="B55:B56"/>
    <mergeCell ref="I59:I60"/>
  </mergeCells>
  <pageMargins left="0.7" right="0.7" top="0.75" bottom="0.75" header="0.3" footer="0.3"/>
  <drawing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11BFCB-693A-4297-8C39-D6204CE037D1}">
  <sheetPr codeName="Sheet11"/>
  <dimension ref="A2:S59"/>
  <sheetViews>
    <sheetView showGridLines="0" topLeftCell="A31" zoomScale="80" zoomScaleNormal="80" workbookViewId="0">
      <selection activeCell="K46" sqref="K46"/>
    </sheetView>
  </sheetViews>
  <sheetFormatPr baseColWidth="10" defaultColWidth="7.875" defaultRowHeight="12.75"/>
  <cols>
    <col min="1" max="1" width="7.875" style="108"/>
    <col min="2" max="2" width="16.5" style="108" customWidth="1"/>
    <col min="3" max="5" width="9" style="108" bestFit="1" customWidth="1"/>
    <col min="6" max="7" width="8" style="108" bestFit="1" customWidth="1"/>
    <col min="8" max="8" width="7.875" style="108"/>
    <col min="9" max="9" width="3.125" style="108" customWidth="1"/>
    <col min="10" max="10" width="7.875" style="108"/>
    <col min="11" max="11" width="9.5" style="108" bestFit="1" customWidth="1"/>
    <col min="12" max="12" width="10.625" style="108" bestFit="1" customWidth="1"/>
    <col min="13" max="13" width="9.5" style="108" bestFit="1" customWidth="1"/>
    <col min="14" max="16384" width="7.875" style="108"/>
  </cols>
  <sheetData>
    <row r="2" spans="1:17" ht="19.5" thickBot="1">
      <c r="B2" s="107" t="str">
        <f>[79]RO_table!B25</f>
        <v>Corporate liquidity| Working capital Bridge and structure per SBU</v>
      </c>
    </row>
    <row r="3" spans="1:17" ht="13.5" thickBot="1">
      <c r="A3" s="417"/>
      <c r="B3" s="418"/>
      <c r="C3" s="418"/>
      <c r="D3" s="418"/>
      <c r="E3" s="418"/>
      <c r="F3" s="418"/>
      <c r="G3" s="418"/>
      <c r="H3" s="418"/>
      <c r="I3" s="418"/>
      <c r="J3" s="418"/>
      <c r="K3" s="418"/>
      <c r="L3" s="418"/>
      <c r="M3" s="418"/>
      <c r="N3" s="418"/>
      <c r="O3" s="418"/>
      <c r="P3" s="418"/>
      <c r="Q3" s="419"/>
    </row>
    <row r="4" spans="1:17">
      <c r="A4" s="420"/>
      <c r="B4" s="109"/>
      <c r="C4" s="110"/>
      <c r="D4" s="110"/>
      <c r="E4" s="110"/>
      <c r="F4" s="110"/>
      <c r="G4" s="110"/>
      <c r="H4" s="110"/>
      <c r="I4" s="110"/>
      <c r="J4" s="110"/>
      <c r="K4" s="110"/>
      <c r="L4" s="110"/>
      <c r="M4" s="110"/>
      <c r="N4" s="110"/>
      <c r="O4" s="110"/>
      <c r="P4" s="111"/>
      <c r="Q4" s="421"/>
    </row>
    <row r="5" spans="1:17">
      <c r="A5" s="420"/>
      <c r="B5" s="112"/>
      <c r="C5" s="125"/>
      <c r="D5" s="125"/>
      <c r="E5" s="125"/>
      <c r="F5" s="125"/>
      <c r="G5" s="125"/>
      <c r="H5" s="125"/>
      <c r="I5" s="125"/>
      <c r="J5" s="125"/>
      <c r="K5" s="125"/>
      <c r="L5" s="125"/>
      <c r="M5" s="125"/>
      <c r="N5" s="125"/>
      <c r="O5" s="125"/>
      <c r="P5" s="113"/>
      <c r="Q5" s="421"/>
    </row>
    <row r="6" spans="1:17">
      <c r="A6" s="420"/>
      <c r="B6" s="112"/>
      <c r="C6" s="125"/>
      <c r="D6" s="125"/>
      <c r="E6" s="125"/>
      <c r="F6" s="125"/>
      <c r="G6" s="125"/>
      <c r="H6" s="125"/>
      <c r="I6" s="125"/>
      <c r="J6" s="125"/>
      <c r="K6" s="125"/>
      <c r="L6" s="125"/>
      <c r="M6" s="125"/>
      <c r="N6" s="125"/>
      <c r="O6" s="125"/>
      <c r="P6" s="113"/>
      <c r="Q6" s="421"/>
    </row>
    <row r="7" spans="1:17">
      <c r="A7" s="420"/>
      <c r="B7" s="112"/>
      <c r="C7" s="125"/>
      <c r="D7" s="125"/>
      <c r="E7" s="125"/>
      <c r="F7" s="125"/>
      <c r="G7" s="125"/>
      <c r="H7" s="125"/>
      <c r="I7" s="125"/>
      <c r="J7" s="125"/>
      <c r="K7" s="125"/>
      <c r="L7" s="125"/>
      <c r="M7" s="125"/>
      <c r="N7" s="125"/>
      <c r="O7" s="125"/>
      <c r="P7" s="113"/>
      <c r="Q7" s="421"/>
    </row>
    <row r="8" spans="1:17">
      <c r="A8" s="420"/>
      <c r="B8" s="112"/>
      <c r="C8" s="125"/>
      <c r="D8" s="125"/>
      <c r="E8" s="125"/>
      <c r="F8" s="125"/>
      <c r="G8" s="125"/>
      <c r="H8" s="125"/>
      <c r="I8" s="125"/>
      <c r="J8" s="125"/>
      <c r="K8" s="125"/>
      <c r="L8" s="125"/>
      <c r="M8" s="125"/>
      <c r="N8" s="125"/>
      <c r="O8" s="125"/>
      <c r="P8" s="113"/>
      <c r="Q8" s="421"/>
    </row>
    <row r="9" spans="1:17">
      <c r="A9" s="420"/>
      <c r="B9" s="112"/>
      <c r="C9" s="125"/>
      <c r="D9" s="125"/>
      <c r="E9" s="125"/>
      <c r="F9" s="125"/>
      <c r="G9" s="125"/>
      <c r="H9" s="125"/>
      <c r="I9" s="125"/>
      <c r="J9" s="125"/>
      <c r="K9" s="125"/>
      <c r="L9" s="125"/>
      <c r="M9" s="125"/>
      <c r="N9" s="125"/>
      <c r="O9" s="125"/>
      <c r="P9" s="113"/>
      <c r="Q9" s="421"/>
    </row>
    <row r="10" spans="1:17">
      <c r="A10" s="420"/>
      <c r="B10" s="112"/>
      <c r="C10" s="125"/>
      <c r="D10" s="125"/>
      <c r="E10" s="125"/>
      <c r="F10" s="125"/>
      <c r="G10" s="125"/>
      <c r="H10" s="125"/>
      <c r="I10" s="125"/>
      <c r="J10" s="125"/>
      <c r="K10" s="125"/>
      <c r="L10" s="125"/>
      <c r="M10" s="125"/>
      <c r="N10" s="125"/>
      <c r="O10" s="125"/>
      <c r="P10" s="113"/>
      <c r="Q10" s="421"/>
    </row>
    <row r="11" spans="1:17">
      <c r="A11" s="420"/>
      <c r="B11" s="112"/>
      <c r="C11" s="125"/>
      <c r="D11" s="125"/>
      <c r="E11" s="125"/>
      <c r="F11" s="125"/>
      <c r="G11" s="125"/>
      <c r="H11" s="125"/>
      <c r="I11" s="125"/>
      <c r="J11" s="125"/>
      <c r="K11" s="125"/>
      <c r="L11" s="125"/>
      <c r="M11" s="125"/>
      <c r="N11" s="125"/>
      <c r="O11" s="125"/>
      <c r="P11" s="113"/>
      <c r="Q11" s="421"/>
    </row>
    <row r="12" spans="1:17">
      <c r="A12" s="420"/>
      <c r="B12" s="112"/>
      <c r="C12" s="125"/>
      <c r="D12" s="125"/>
      <c r="E12" s="125"/>
      <c r="F12" s="125"/>
      <c r="G12" s="125"/>
      <c r="H12" s="125"/>
      <c r="I12" s="125"/>
      <c r="J12" s="125"/>
      <c r="K12" s="125"/>
      <c r="L12" s="125"/>
      <c r="M12" s="125"/>
      <c r="N12" s="125"/>
      <c r="O12" s="125"/>
      <c r="P12" s="113"/>
      <c r="Q12" s="421"/>
    </row>
    <row r="13" spans="1:17">
      <c r="A13" s="420"/>
      <c r="B13" s="112"/>
      <c r="C13" s="125"/>
      <c r="D13" s="125"/>
      <c r="E13" s="125"/>
      <c r="F13" s="125"/>
      <c r="G13" s="125"/>
      <c r="H13" s="125"/>
      <c r="I13" s="125"/>
      <c r="J13" s="125"/>
      <c r="K13" s="125"/>
      <c r="L13" s="125"/>
      <c r="M13" s="125"/>
      <c r="N13" s="125"/>
      <c r="O13" s="125"/>
      <c r="P13" s="113"/>
      <c r="Q13" s="421"/>
    </row>
    <row r="14" spans="1:17">
      <c r="A14" s="420"/>
      <c r="B14" s="112"/>
      <c r="C14" s="125"/>
      <c r="D14" s="125"/>
      <c r="E14" s="125"/>
      <c r="F14" s="125"/>
      <c r="G14" s="125"/>
      <c r="H14" s="125"/>
      <c r="I14" s="125"/>
      <c r="J14" s="125"/>
      <c r="K14" s="125"/>
      <c r="L14" s="125"/>
      <c r="M14" s="125"/>
      <c r="N14" s="125"/>
      <c r="O14" s="125"/>
      <c r="P14" s="113"/>
      <c r="Q14" s="421"/>
    </row>
    <row r="15" spans="1:17">
      <c r="A15" s="420"/>
      <c r="B15" s="112"/>
      <c r="C15" s="125"/>
      <c r="D15" s="125"/>
      <c r="E15" s="125"/>
      <c r="F15" s="125"/>
      <c r="G15" s="125"/>
      <c r="H15" s="125"/>
      <c r="I15" s="125"/>
      <c r="J15" s="125"/>
      <c r="K15" s="125"/>
      <c r="L15" s="125"/>
      <c r="M15" s="125"/>
      <c r="N15" s="125"/>
      <c r="O15" s="125"/>
      <c r="P15" s="113"/>
      <c r="Q15" s="421"/>
    </row>
    <row r="16" spans="1:17">
      <c r="A16" s="420"/>
      <c r="B16" s="112"/>
      <c r="C16" s="125"/>
      <c r="D16" s="125"/>
      <c r="E16" s="125"/>
      <c r="F16" s="125"/>
      <c r="G16" s="125"/>
      <c r="H16" s="125"/>
      <c r="I16" s="125"/>
      <c r="J16" s="125"/>
      <c r="K16" s="125"/>
      <c r="L16" s="125"/>
      <c r="M16" s="125"/>
      <c r="N16" s="125"/>
      <c r="O16" s="125"/>
      <c r="P16" s="113"/>
      <c r="Q16" s="421"/>
    </row>
    <row r="17" spans="1:17">
      <c r="A17" s="420"/>
      <c r="B17" s="112"/>
      <c r="C17" s="125"/>
      <c r="D17" s="125"/>
      <c r="E17" s="125"/>
      <c r="F17" s="125"/>
      <c r="G17" s="125"/>
      <c r="H17" s="125"/>
      <c r="I17" s="125"/>
      <c r="J17" s="125"/>
      <c r="K17" s="125"/>
      <c r="L17" s="125"/>
      <c r="M17" s="125"/>
      <c r="N17" s="125"/>
      <c r="O17" s="125"/>
      <c r="P17" s="113"/>
      <c r="Q17" s="421"/>
    </row>
    <row r="18" spans="1:17">
      <c r="A18" s="420"/>
      <c r="B18" s="112"/>
      <c r="C18" s="125"/>
      <c r="D18" s="125"/>
      <c r="E18" s="125"/>
      <c r="F18" s="125"/>
      <c r="G18" s="125"/>
      <c r="H18" s="125"/>
      <c r="I18" s="125"/>
      <c r="J18" s="125"/>
      <c r="K18" s="125"/>
      <c r="L18" s="125"/>
      <c r="M18" s="125"/>
      <c r="N18" s="125"/>
      <c r="O18" s="125"/>
      <c r="P18" s="113"/>
      <c r="Q18" s="421"/>
    </row>
    <row r="19" spans="1:17">
      <c r="A19" s="420"/>
      <c r="B19" s="112"/>
      <c r="C19" s="125"/>
      <c r="D19" s="125"/>
      <c r="E19" s="125"/>
      <c r="F19" s="125"/>
      <c r="G19" s="125"/>
      <c r="H19" s="125"/>
      <c r="I19" s="125"/>
      <c r="J19" s="125"/>
      <c r="K19" s="125"/>
      <c r="L19" s="125"/>
      <c r="M19" s="125"/>
      <c r="N19" s="125"/>
      <c r="O19" s="125"/>
      <c r="P19" s="113"/>
      <c r="Q19" s="421"/>
    </row>
    <row r="20" spans="1:17">
      <c r="A20" s="420"/>
      <c r="B20" s="112"/>
      <c r="C20" s="125"/>
      <c r="D20" s="125"/>
      <c r="E20" s="125"/>
      <c r="F20" s="125"/>
      <c r="G20" s="125"/>
      <c r="H20" s="125"/>
      <c r="I20" s="125"/>
      <c r="J20" s="125"/>
      <c r="K20" s="125"/>
      <c r="L20" s="125"/>
      <c r="M20" s="125"/>
      <c r="N20" s="125"/>
      <c r="O20" s="125"/>
      <c r="P20" s="113"/>
      <c r="Q20" s="421"/>
    </row>
    <row r="21" spans="1:17">
      <c r="A21" s="420"/>
      <c r="B21" s="112"/>
      <c r="C21" s="125"/>
      <c r="D21" s="125"/>
      <c r="E21" s="125"/>
      <c r="F21" s="125"/>
      <c r="G21" s="125"/>
      <c r="H21" s="125"/>
      <c r="I21" s="125"/>
      <c r="J21" s="125"/>
      <c r="K21" s="125"/>
      <c r="L21" s="125"/>
      <c r="M21" s="125"/>
      <c r="N21" s="125"/>
      <c r="O21" s="125"/>
      <c r="P21" s="113"/>
      <c r="Q21" s="421"/>
    </row>
    <row r="22" spans="1:17">
      <c r="A22" s="420"/>
      <c r="B22" s="112"/>
      <c r="C22" s="125"/>
      <c r="D22" s="125"/>
      <c r="E22" s="125"/>
      <c r="F22" s="125"/>
      <c r="G22" s="125"/>
      <c r="H22" s="125"/>
      <c r="I22" s="125"/>
      <c r="J22" s="125"/>
      <c r="K22" s="125"/>
      <c r="L22" s="125"/>
      <c r="M22" s="125"/>
      <c r="N22" s="125"/>
      <c r="O22" s="125"/>
      <c r="P22" s="113"/>
      <c r="Q22" s="421"/>
    </row>
    <row r="23" spans="1:17">
      <c r="A23" s="420"/>
      <c r="B23" s="112"/>
      <c r="C23" s="125"/>
      <c r="D23" s="125"/>
      <c r="E23" s="125"/>
      <c r="F23" s="125"/>
      <c r="G23" s="125"/>
      <c r="H23" s="125"/>
      <c r="I23" s="125"/>
      <c r="J23" s="125"/>
      <c r="K23" s="125"/>
      <c r="L23" s="125"/>
      <c r="M23" s="125"/>
      <c r="N23" s="125"/>
      <c r="O23" s="125"/>
      <c r="P23" s="113"/>
      <c r="Q23" s="421"/>
    </row>
    <row r="24" spans="1:17">
      <c r="A24" s="420"/>
      <c r="B24" s="112"/>
      <c r="C24" s="125"/>
      <c r="D24" s="125"/>
      <c r="E24" s="125"/>
      <c r="F24" s="125"/>
      <c r="G24" s="125"/>
      <c r="H24" s="125"/>
      <c r="I24" s="125"/>
      <c r="J24" s="125"/>
      <c r="K24" s="125"/>
      <c r="L24" s="125"/>
      <c r="M24" s="125"/>
      <c r="N24" s="125"/>
      <c r="O24" s="125"/>
      <c r="P24" s="113"/>
      <c r="Q24" s="421"/>
    </row>
    <row r="25" spans="1:17">
      <c r="A25" s="420"/>
      <c r="B25" s="112"/>
      <c r="C25" s="125"/>
      <c r="D25" s="125"/>
      <c r="E25" s="125"/>
      <c r="F25" s="125"/>
      <c r="G25" s="125"/>
      <c r="H25" s="125"/>
      <c r="I25" s="125"/>
      <c r="J25" s="125"/>
      <c r="K25" s="125"/>
      <c r="L25" s="125"/>
      <c r="M25" s="125"/>
      <c r="N25" s="125"/>
      <c r="O25" s="125"/>
      <c r="P25" s="113"/>
      <c r="Q25" s="421"/>
    </row>
    <row r="26" spans="1:17">
      <c r="A26" s="420"/>
      <c r="B26" s="112"/>
      <c r="C26" s="125"/>
      <c r="D26" s="125"/>
      <c r="E26" s="125"/>
      <c r="F26" s="125"/>
      <c r="G26" s="125"/>
      <c r="H26" s="125"/>
      <c r="I26" s="125"/>
      <c r="J26" s="125"/>
      <c r="K26" s="125"/>
      <c r="L26" s="125"/>
      <c r="M26" s="125"/>
      <c r="N26" s="125"/>
      <c r="O26" s="125"/>
      <c r="P26" s="113"/>
      <c r="Q26" s="421"/>
    </row>
    <row r="27" spans="1:17">
      <c r="A27" s="420"/>
      <c r="B27" s="112"/>
      <c r="C27" s="125"/>
      <c r="D27" s="125"/>
      <c r="E27" s="125"/>
      <c r="F27" s="125"/>
      <c r="G27" s="125"/>
      <c r="H27" s="125"/>
      <c r="I27" s="125"/>
      <c r="J27" s="125"/>
      <c r="K27" s="125"/>
      <c r="L27" s="125"/>
      <c r="M27" s="125"/>
      <c r="N27" s="125"/>
      <c r="O27" s="125"/>
      <c r="P27" s="113"/>
      <c r="Q27" s="421"/>
    </row>
    <row r="28" spans="1:17">
      <c r="A28" s="420"/>
      <c r="B28" s="112"/>
      <c r="C28" s="125"/>
      <c r="D28" s="125"/>
      <c r="E28" s="125"/>
      <c r="F28" s="125"/>
      <c r="G28" s="125"/>
      <c r="H28" s="125"/>
      <c r="I28" s="125"/>
      <c r="J28" s="125"/>
      <c r="K28" s="125"/>
      <c r="L28" s="125"/>
      <c r="M28" s="125"/>
      <c r="N28" s="125"/>
      <c r="O28" s="125"/>
      <c r="P28" s="113"/>
      <c r="Q28" s="421"/>
    </row>
    <row r="29" spans="1:17">
      <c r="A29" s="420"/>
      <c r="B29" s="112"/>
      <c r="C29" s="125"/>
      <c r="D29" s="125"/>
      <c r="E29" s="125"/>
      <c r="F29" s="125"/>
      <c r="G29" s="125"/>
      <c r="H29" s="125"/>
      <c r="I29" s="125"/>
      <c r="J29" s="125"/>
      <c r="K29" s="125"/>
      <c r="L29" s="125"/>
      <c r="M29" s="125"/>
      <c r="N29" s="125"/>
      <c r="O29" s="125"/>
      <c r="P29" s="113"/>
      <c r="Q29" s="421"/>
    </row>
    <row r="30" spans="1:17">
      <c r="A30" s="420"/>
      <c r="B30" s="112"/>
      <c r="C30" s="125"/>
      <c r="D30" s="125"/>
      <c r="E30" s="125"/>
      <c r="F30" s="125"/>
      <c r="G30" s="125"/>
      <c r="H30" s="125"/>
      <c r="I30" s="125"/>
      <c r="J30" s="125"/>
      <c r="K30" s="125"/>
      <c r="L30" s="125"/>
      <c r="M30" s="125"/>
      <c r="N30" s="125"/>
      <c r="O30" s="125"/>
      <c r="P30" s="113"/>
      <c r="Q30" s="421"/>
    </row>
    <row r="31" spans="1:17">
      <c r="A31" s="420"/>
      <c r="B31" s="112"/>
      <c r="C31" s="125"/>
      <c r="D31" s="125"/>
      <c r="E31" s="125"/>
      <c r="F31" s="125"/>
      <c r="G31" s="125"/>
      <c r="H31" s="125"/>
      <c r="I31" s="125"/>
      <c r="J31" s="125"/>
      <c r="K31" s="125"/>
      <c r="L31" s="125"/>
      <c r="M31" s="125"/>
      <c r="N31" s="125"/>
      <c r="O31" s="125"/>
      <c r="P31" s="113"/>
      <c r="Q31" s="421"/>
    </row>
    <row r="32" spans="1:17">
      <c r="A32" s="420"/>
      <c r="B32" s="112"/>
      <c r="C32" s="125"/>
      <c r="D32" s="125"/>
      <c r="E32" s="125"/>
      <c r="F32" s="125"/>
      <c r="G32" s="125"/>
      <c r="H32" s="125"/>
      <c r="I32" s="125"/>
      <c r="J32" s="125"/>
      <c r="K32" s="125"/>
      <c r="L32" s="125"/>
      <c r="M32" s="125"/>
      <c r="N32" s="125"/>
      <c r="O32" s="125"/>
      <c r="P32" s="113"/>
      <c r="Q32" s="421"/>
    </row>
    <row r="33" spans="1:19">
      <c r="A33" s="420"/>
      <c r="B33" s="112"/>
      <c r="C33" s="125"/>
      <c r="D33" s="125"/>
      <c r="E33" s="125"/>
      <c r="F33" s="125"/>
      <c r="G33" s="125"/>
      <c r="H33" s="125"/>
      <c r="I33" s="125"/>
      <c r="J33" s="125"/>
      <c r="K33" s="125"/>
      <c r="L33" s="125"/>
      <c r="M33" s="125"/>
      <c r="N33" s="125"/>
      <c r="O33" s="125"/>
      <c r="P33" s="113"/>
      <c r="Q33" s="421"/>
    </row>
    <row r="34" spans="1:19" ht="13.5" thickBot="1">
      <c r="A34" s="420"/>
      <c r="B34" s="114"/>
      <c r="C34" s="115"/>
      <c r="D34" s="115"/>
      <c r="E34" s="115"/>
      <c r="F34" s="115"/>
      <c r="G34" s="115"/>
      <c r="H34" s="115"/>
      <c r="I34" s="115"/>
      <c r="J34" s="115"/>
      <c r="K34" s="115"/>
      <c r="L34" s="115"/>
      <c r="M34" s="115"/>
      <c r="N34" s="115"/>
      <c r="O34" s="115"/>
      <c r="P34" s="116"/>
      <c r="Q34" s="421"/>
    </row>
    <row r="35" spans="1:19">
      <c r="A35" s="420"/>
      <c r="Q35" s="421"/>
    </row>
    <row r="36" spans="1:19">
      <c r="A36" s="420"/>
      <c r="Q36" s="421"/>
    </row>
    <row r="37" spans="1:19">
      <c r="A37" s="420"/>
      <c r="Q37" s="421"/>
    </row>
    <row r="38" spans="1:19">
      <c r="A38" s="420"/>
      <c r="Q38" s="421"/>
    </row>
    <row r="39" spans="1:19">
      <c r="A39" s="420"/>
      <c r="Q39" s="421"/>
    </row>
    <row r="40" spans="1:19">
      <c r="A40" s="420"/>
      <c r="Q40" s="421"/>
    </row>
    <row r="41" spans="1:19" ht="13.5" thickBot="1">
      <c r="A41" s="422"/>
      <c r="B41" s="423"/>
      <c r="C41" s="423"/>
      <c r="D41" s="423"/>
      <c r="E41" s="423"/>
      <c r="F41" s="423"/>
      <c r="G41" s="423"/>
      <c r="H41" s="423"/>
      <c r="I41" s="423"/>
      <c r="J41" s="423"/>
      <c r="K41" s="423"/>
      <c r="L41" s="423"/>
      <c r="M41" s="423"/>
      <c r="N41" s="423"/>
      <c r="O41" s="423"/>
      <c r="P41" s="423"/>
      <c r="Q41" s="424"/>
    </row>
    <row r="45" spans="1:19" ht="26.25">
      <c r="B45" s="117" t="s">
        <v>161</v>
      </c>
      <c r="J45" s="204" t="s">
        <v>424</v>
      </c>
      <c r="K45" s="118" t="s">
        <v>162</v>
      </c>
      <c r="L45" s="118" t="s">
        <v>163</v>
      </c>
      <c r="M45" s="118" t="s">
        <v>164</v>
      </c>
      <c r="N45" s="205">
        <f>SUM(K46:M48)</f>
        <v>10441.803430109901</v>
      </c>
      <c r="O45" s="416">
        <v>3.21841</v>
      </c>
    </row>
    <row r="46" spans="1:19" ht="15.75">
      <c r="C46" s="108" t="s">
        <v>134</v>
      </c>
      <c r="D46" s="108" t="s">
        <v>165</v>
      </c>
      <c r="E46" s="108" t="s">
        <v>166</v>
      </c>
      <c r="F46" s="108" t="s">
        <v>167</v>
      </c>
      <c r="G46" s="108" t="s">
        <v>168</v>
      </c>
      <c r="J46" s="117" t="s">
        <v>169</v>
      </c>
      <c r="K46" s="203">
        <f>'WC Workings'!P25/1000/O45</f>
        <v>765.3301381738188</v>
      </c>
      <c r="L46" s="203">
        <f>'WC Workings'!P26/1000/O45</f>
        <v>4786.9555749578203</v>
      </c>
      <c r="M46" s="203">
        <f>'WC Workings'!P27/1000/O45</f>
        <v>-852.53070770970794</v>
      </c>
      <c r="N46" s="120"/>
      <c r="Q46" s="508">
        <f>K46+L46+M46</f>
        <v>4699.7550054219319</v>
      </c>
      <c r="R46" s="509">
        <f>Q46/Q48</f>
        <v>0.4500903543031422</v>
      </c>
      <c r="S46" s="510">
        <f>R46-R51</f>
        <v>8.9573889478029078E-2</v>
      </c>
    </row>
    <row r="47" spans="1:19" ht="15.75">
      <c r="B47" s="108" t="s">
        <v>267</v>
      </c>
      <c r="C47" s="127">
        <f>D47</f>
        <v>7096.9104670986999</v>
      </c>
      <c r="D47" s="127">
        <f>N50</f>
        <v>7096.9104670986999</v>
      </c>
      <c r="E47" s="127"/>
      <c r="F47" s="127"/>
      <c r="G47" s="127"/>
      <c r="J47" s="117" t="s">
        <v>170</v>
      </c>
      <c r="K47" s="127">
        <f>'WC Workings'!Q25/1000/O45</f>
        <v>5198.4417501188518</v>
      </c>
      <c r="L47" s="127">
        <f>'WC Workings'!Q26/1000/O45</f>
        <v>645.5203524411121</v>
      </c>
      <c r="M47" s="203">
        <f>'WC Workings'!Q27/1000/O45</f>
        <v>-101.91367787199269</v>
      </c>
      <c r="N47" s="120"/>
      <c r="Q47" s="508">
        <f>K47+L47+M47</f>
        <v>5742.0484246879705</v>
      </c>
      <c r="R47" s="509">
        <f>Q47/Q48</f>
        <v>0.54990964569685774</v>
      </c>
      <c r="S47" s="510">
        <f>R52-R47</f>
        <v>8.9573889478029134E-2</v>
      </c>
    </row>
    <row r="48" spans="1:19" ht="15.75">
      <c r="B48" s="108" t="s">
        <v>162</v>
      </c>
      <c r="C48" s="127">
        <f>K49-K54</f>
        <v>1325.5695580691636</v>
      </c>
      <c r="D48" s="127"/>
      <c r="E48" s="127">
        <f>MIN(SUM(C$47:C47),SUM(C$47:C48))</f>
        <v>7096.9104670986999</v>
      </c>
      <c r="F48" s="127">
        <f>MAX(C48,0)</f>
        <v>1325.5695580691636</v>
      </c>
      <c r="G48" s="127">
        <f>-MIN(C48,0)</f>
        <v>0</v>
      </c>
      <c r="J48" s="117" t="s">
        <v>171</v>
      </c>
      <c r="K48" s="108">
        <v>0</v>
      </c>
      <c r="L48" s="119">
        <v>0</v>
      </c>
      <c r="M48" s="119">
        <v>0</v>
      </c>
      <c r="N48" s="120"/>
      <c r="Q48" s="508">
        <f>SUM(Q46:Q47)</f>
        <v>10441.803430109903</v>
      </c>
    </row>
    <row r="49" spans="2:18" ht="15.75">
      <c r="B49" s="108" t="s">
        <v>172</v>
      </c>
      <c r="C49" s="127">
        <f>L49-L54</f>
        <v>1183.9469574111208</v>
      </c>
      <c r="D49" s="127"/>
      <c r="E49" s="127">
        <f>MIN(SUM(C$47:C48),SUM(C$47:C49))</f>
        <v>8422.4800251678644</v>
      </c>
      <c r="F49" s="127">
        <f t="shared" ref="F49" si="0">MAX(C49,0)</f>
        <v>1183.9469574111208</v>
      </c>
      <c r="G49" s="127">
        <f t="shared" ref="G49" si="1">-MIN(C49,0)</f>
        <v>0</v>
      </c>
      <c r="J49" s="117"/>
      <c r="K49" s="295">
        <f>SUM(K46:K48)</f>
        <v>5963.7718882926711</v>
      </c>
      <c r="L49" s="295">
        <f t="shared" ref="L49:M49" si="2">SUM(L46:L48)</f>
        <v>5432.4759273989321</v>
      </c>
      <c r="M49" s="295">
        <f t="shared" si="2"/>
        <v>-954.44438558170066</v>
      </c>
      <c r="N49" s="120"/>
    </row>
    <row r="50" spans="2:18" ht="26.25">
      <c r="B50" s="108" t="s">
        <v>164</v>
      </c>
      <c r="C50" s="127">
        <f>M49-M54</f>
        <v>835.37644753091843</v>
      </c>
      <c r="D50" s="127"/>
      <c r="E50" s="127">
        <f>MIN(SUM(C$47:C49),SUM(C$47:C50))</f>
        <v>9606.4269825789852</v>
      </c>
      <c r="F50" s="127">
        <f>MAX(C50,0)</f>
        <v>835.37644753091843</v>
      </c>
      <c r="G50" s="127">
        <f>-MIN(C50,0)</f>
        <v>0</v>
      </c>
      <c r="J50" s="204" t="s">
        <v>435</v>
      </c>
      <c r="K50" s="118" t="s">
        <v>162</v>
      </c>
      <c r="L50" s="118" t="s">
        <v>163</v>
      </c>
      <c r="M50" s="118" t="s">
        <v>164</v>
      </c>
      <c r="N50" s="205">
        <f>SUM(K51:M53)</f>
        <v>7096.9104670986999</v>
      </c>
      <c r="O50" s="298">
        <v>3.282</v>
      </c>
    </row>
    <row r="51" spans="2:18" ht="15.75">
      <c r="B51" s="108" t="s">
        <v>268</v>
      </c>
      <c r="C51" s="127"/>
      <c r="D51" s="127">
        <f>N45</f>
        <v>10441.803430109901</v>
      </c>
      <c r="E51" s="127"/>
      <c r="F51" s="127"/>
      <c r="G51" s="127"/>
      <c r="J51" s="117" t="s">
        <v>169</v>
      </c>
      <c r="K51" s="203">
        <f>'WC Workings'!P57/1000/O50</f>
        <v>650.0430695111296</v>
      </c>
      <c r="L51" s="203">
        <f>'WC Workings'!P58/1000/O50</f>
        <v>3577.3003510054837</v>
      </c>
      <c r="M51" s="203">
        <f>'WC Workings'!P59/1000/O50</f>
        <v>-1668.7903477378477</v>
      </c>
      <c r="N51" s="120"/>
      <c r="Q51" s="508">
        <f>K51+L51+M51</f>
        <v>2558.5530727787655</v>
      </c>
      <c r="R51" s="509">
        <f>Q51/Q53</f>
        <v>0.36051646482511313</v>
      </c>
    </row>
    <row r="52" spans="2:18" ht="15.75">
      <c r="J52" s="117" t="s">
        <v>170</v>
      </c>
      <c r="K52" s="127">
        <f>'WC Workings'!Q57/1000/O50</f>
        <v>3988.1592607123775</v>
      </c>
      <c r="L52" s="127">
        <f>'WC Workings'!Q58/1000/O50</f>
        <v>671.2286189823277</v>
      </c>
      <c r="M52" s="203">
        <f>'WC Workings'!Q59/1000/O50</f>
        <v>-121.03048537477149</v>
      </c>
      <c r="N52" s="120"/>
      <c r="Q52" s="508">
        <f>K52+L52+M52</f>
        <v>4538.3573943199344</v>
      </c>
      <c r="R52" s="509">
        <f>Q52/Q53</f>
        <v>0.63948353517488687</v>
      </c>
    </row>
    <row r="53" spans="2:18" ht="15.75">
      <c r="J53" s="117" t="s">
        <v>171</v>
      </c>
      <c r="K53" s="108">
        <v>0</v>
      </c>
      <c r="L53" s="119">
        <v>0</v>
      </c>
      <c r="M53" s="120">
        <f t="shared" ref="M53" si="3">0.7*L53</f>
        <v>0</v>
      </c>
      <c r="N53" s="120"/>
      <c r="Q53" s="508">
        <f>SUM(Q51:Q52)</f>
        <v>7096.9104670986999</v>
      </c>
    </row>
    <row r="54" spans="2:18" ht="15.75">
      <c r="J54" s="117"/>
      <c r="K54" s="295">
        <f>SUM(K51:K53)</f>
        <v>4638.2023302235075</v>
      </c>
      <c r="L54" s="295">
        <f t="shared" ref="L54" si="4">SUM(L51:L53)</f>
        <v>4248.5289699878113</v>
      </c>
      <c r="M54" s="295">
        <f t="shared" ref="M54" si="5">SUM(M51:M53)</f>
        <v>-1789.8208331126191</v>
      </c>
      <c r="N54" s="120"/>
      <c r="Q54" s="511">
        <f>Q48-Q53</f>
        <v>3344.8929630112034</v>
      </c>
    </row>
    <row r="55" spans="2:18" ht="15.75">
      <c r="J55" s="117"/>
      <c r="K55" s="508">
        <f>K49-K54</f>
        <v>1325.5695580691636</v>
      </c>
      <c r="L55" s="119">
        <f>L49-L54</f>
        <v>1183.9469574111208</v>
      </c>
      <c r="M55" s="120">
        <f>M54-M49</f>
        <v>-835.37644753091843</v>
      </c>
      <c r="N55" s="120"/>
    </row>
    <row r="56" spans="2:18" ht="15.75">
      <c r="J56" s="117"/>
      <c r="K56" s="108">
        <f>K49/K54</f>
        <v>1.2857938191767686</v>
      </c>
      <c r="L56" s="108">
        <f>L49/L54</f>
        <v>1.2786722100225005</v>
      </c>
      <c r="M56" s="120"/>
      <c r="N56" s="120"/>
    </row>
    <row r="57" spans="2:18" ht="15.75">
      <c r="J57" s="117"/>
      <c r="L57" s="119"/>
      <c r="M57" s="120"/>
      <c r="N57" s="120"/>
    </row>
    <row r="58" spans="2:18" ht="15.75">
      <c r="J58" s="117"/>
      <c r="L58" s="119"/>
      <c r="M58" s="120"/>
      <c r="N58" s="120"/>
    </row>
    <row r="59" spans="2:18" ht="15.75">
      <c r="J59" s="117"/>
      <c r="L59" s="119"/>
      <c r="M59" s="120"/>
      <c r="N59" s="120"/>
    </row>
  </sheetData>
  <pageMargins left="0.7" right="0.7" top="0.75" bottom="0.75" header="0.3" footer="0.3"/>
  <pageSetup paperSize="9" orientation="portrait" r:id="rId1"/>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B90DAF-2EDC-4216-90B9-3E355F14C68A}">
  <sheetPr codeName="Sheet12">
    <tabColor rgb="FF00B050"/>
  </sheetPr>
  <dimension ref="A2:AL80"/>
  <sheetViews>
    <sheetView showGridLines="0" zoomScaleNormal="100" workbookViewId="0">
      <selection activeCell="I42" sqref="I42"/>
    </sheetView>
  </sheetViews>
  <sheetFormatPr baseColWidth="10" defaultColWidth="7.875" defaultRowHeight="12.75"/>
  <cols>
    <col min="1" max="6" width="7.875" style="108"/>
    <col min="7" max="7" width="4.125" style="108" customWidth="1"/>
    <col min="8" max="8" width="24.375" style="108" customWidth="1"/>
    <col min="9" max="12" width="8.625" style="108" customWidth="1"/>
    <col min="13" max="14" width="12.875" style="108" customWidth="1"/>
    <col min="15" max="15" width="1.375" style="108" customWidth="1"/>
    <col min="16" max="16" width="13.625" style="108" bestFit="1" customWidth="1"/>
    <col min="17" max="17" width="17.375" style="108" customWidth="1"/>
    <col min="18" max="18" width="37.375" style="108" bestFit="1" customWidth="1"/>
    <col min="19" max="20" width="10.375" style="108" bestFit="1" customWidth="1"/>
    <col min="21" max="21" width="24.625" style="108" bestFit="1" customWidth="1"/>
    <col min="22" max="22" width="11.125" style="108" bestFit="1" customWidth="1"/>
    <col min="23" max="23" width="10.375" style="108" bestFit="1" customWidth="1"/>
    <col min="24" max="24" width="31.125" style="108" bestFit="1" customWidth="1"/>
    <col min="25" max="25" width="11.125" style="108" bestFit="1" customWidth="1"/>
    <col min="26" max="26" width="7.875" style="108"/>
    <col min="27" max="27" width="9.5" style="108" bestFit="1" customWidth="1"/>
    <col min="28" max="28" width="11.5" style="108" bestFit="1" customWidth="1"/>
    <col min="29" max="31" width="7.875" style="108"/>
    <col min="32" max="32" width="23.125" style="108" bestFit="1" customWidth="1"/>
    <col min="33" max="36" width="6.875" style="108" bestFit="1" customWidth="1"/>
    <col min="37" max="37" width="11.875" style="108" bestFit="1" customWidth="1"/>
    <col min="38" max="38" width="12.625" style="108" bestFit="1" customWidth="1"/>
    <col min="39" max="39" width="7.875" style="108"/>
    <col min="40" max="40" width="9.5" style="108" bestFit="1" customWidth="1"/>
    <col min="41" max="16384" width="7.875" style="108"/>
  </cols>
  <sheetData>
    <row r="2" spans="2:38" ht="18.75">
      <c r="B2" s="107" t="str">
        <f>[79]RO_table!B30</f>
        <v>Inventory Stratification</v>
      </c>
    </row>
    <row r="3" spans="2:38" ht="13.5" thickBot="1"/>
    <row r="4" spans="2:38">
      <c r="B4" s="109"/>
      <c r="C4" s="110"/>
      <c r="D4" s="110"/>
      <c r="E4" s="110"/>
      <c r="F4" s="110"/>
      <c r="G4" s="110"/>
      <c r="H4" s="110"/>
      <c r="I4" s="110"/>
      <c r="J4" s="110"/>
      <c r="K4" s="110"/>
      <c r="L4" s="110"/>
      <c r="M4" s="110"/>
      <c r="N4" s="110"/>
      <c r="O4" s="111"/>
      <c r="AG4" s="117" t="s">
        <v>457</v>
      </c>
      <c r="AH4" s="117"/>
      <c r="AI4" s="117"/>
      <c r="AJ4" s="117"/>
    </row>
    <row r="5" spans="2:38" ht="15.75" thickBot="1">
      <c r="B5" s="112"/>
      <c r="C5" s="125"/>
      <c r="D5" s="125"/>
      <c r="E5" s="125"/>
      <c r="F5" s="125"/>
      <c r="G5" s="125"/>
      <c r="H5" s="125"/>
      <c r="I5" s="125"/>
      <c r="J5" s="125"/>
      <c r="K5" s="125"/>
      <c r="L5" s="125"/>
      <c r="M5" s="150"/>
      <c r="N5" s="150"/>
      <c r="O5" s="113"/>
      <c r="AG5" s="298">
        <v>3.282</v>
      </c>
      <c r="AH5" s="298">
        <v>3.2997000000000001</v>
      </c>
      <c r="AI5" s="298">
        <v>3.2502900000000001</v>
      </c>
      <c r="AJ5" s="298">
        <v>3.21841</v>
      </c>
    </row>
    <row r="6" spans="2:38" ht="13.5" thickBot="1">
      <c r="B6" s="112"/>
      <c r="C6" s="125"/>
      <c r="D6" s="125"/>
      <c r="E6" s="125"/>
      <c r="F6" s="125"/>
      <c r="G6" s="125"/>
      <c r="H6" s="165" t="s">
        <v>508</v>
      </c>
      <c r="I6" s="1258" t="s">
        <v>349</v>
      </c>
      <c r="J6" s="1259"/>
      <c r="K6" s="1259"/>
      <c r="L6" s="1259"/>
      <c r="M6" s="1258" t="s">
        <v>364</v>
      </c>
      <c r="N6" s="1260"/>
      <c r="O6" s="113"/>
      <c r="AF6" s="165" t="s">
        <v>365</v>
      </c>
      <c r="AG6" s="1258" t="s">
        <v>349</v>
      </c>
      <c r="AH6" s="1259"/>
      <c r="AI6" s="1259"/>
      <c r="AJ6" s="1259"/>
      <c r="AK6" s="1258" t="s">
        <v>364</v>
      </c>
      <c r="AL6" s="1260"/>
    </row>
    <row r="7" spans="2:38" ht="15">
      <c r="B7" s="112"/>
      <c r="C7" s="125"/>
      <c r="D7" s="125"/>
      <c r="E7" s="125"/>
      <c r="F7" s="125"/>
      <c r="G7" s="125"/>
      <c r="H7" s="175" t="s">
        <v>348</v>
      </c>
      <c r="I7" s="176" t="s">
        <v>266</v>
      </c>
      <c r="J7" s="174" t="s">
        <v>354</v>
      </c>
      <c r="K7" s="174" t="s">
        <v>355</v>
      </c>
      <c r="L7" s="174" t="s">
        <v>356</v>
      </c>
      <c r="M7" s="176" t="s">
        <v>363</v>
      </c>
      <c r="N7" s="177" t="s">
        <v>362</v>
      </c>
      <c r="O7" s="113"/>
      <c r="AF7" s="175" t="s">
        <v>348</v>
      </c>
      <c r="AG7" s="176" t="s">
        <v>266</v>
      </c>
      <c r="AH7" s="174" t="s">
        <v>354</v>
      </c>
      <c r="AI7" s="174" t="s">
        <v>355</v>
      </c>
      <c r="AJ7" s="174" t="s">
        <v>356</v>
      </c>
      <c r="AK7" s="176" t="s">
        <v>363</v>
      </c>
      <c r="AL7" s="177" t="s">
        <v>362</v>
      </c>
    </row>
    <row r="8" spans="2:38">
      <c r="B8" s="112"/>
      <c r="C8" s="125"/>
      <c r="D8" s="125"/>
      <c r="E8" s="125"/>
      <c r="F8" s="125"/>
      <c r="G8" s="125"/>
      <c r="H8" s="153" t="s">
        <v>350</v>
      </c>
      <c r="I8" s="162">
        <f>AG8/$AG$5</f>
        <v>599.59343722296467</v>
      </c>
      <c r="J8" s="155">
        <f>AH8/$AH$5</f>
        <v>726.34224850691601</v>
      </c>
      <c r="K8" s="155">
        <f>AI8/$AI$5</f>
        <v>937.09385598802487</v>
      </c>
      <c r="L8" s="155">
        <f>AJ8/$AJ$5</f>
        <v>1085.8120188302794</v>
      </c>
      <c r="M8" s="166">
        <f t="shared" ref="M8:M25" si="0">K8-L8</f>
        <v>-148.71816284225451</v>
      </c>
      <c r="N8" s="299">
        <f t="shared" ref="N8:N25" si="1">I8-L8</f>
        <v>-486.21858160731472</v>
      </c>
      <c r="O8" s="113"/>
      <c r="AF8" s="153" t="s">
        <v>350</v>
      </c>
      <c r="AG8" s="162">
        <f>P51/1000</f>
        <v>1967.8656609657701</v>
      </c>
      <c r="AH8" s="155">
        <f>S54/1000</f>
        <v>2396.7115173982706</v>
      </c>
      <c r="AI8" s="155">
        <f>V52/1000</f>
        <v>3045.8267891793175</v>
      </c>
      <c r="AJ8" s="155">
        <f>Y54/1000</f>
        <v>3494.5882595235598</v>
      </c>
      <c r="AK8" s="166">
        <f t="shared" ref="AK8:AK25" si="2">AI8-AJ8</f>
        <v>-448.7614703442423</v>
      </c>
      <c r="AL8" s="158">
        <f t="shared" ref="AL8:AL25" si="3">AG8-AJ8</f>
        <v>-1526.7225985577898</v>
      </c>
    </row>
    <row r="9" spans="2:38">
      <c r="B9" s="112"/>
      <c r="C9" s="125"/>
      <c r="D9" s="125"/>
      <c r="E9" s="125"/>
      <c r="F9" s="125"/>
      <c r="G9" s="125"/>
      <c r="H9" s="153" t="s">
        <v>351</v>
      </c>
      <c r="I9" s="162">
        <f>AG9/$AG$5</f>
        <v>272.59075844123578</v>
      </c>
      <c r="J9" s="155">
        <f t="shared" ref="J9:J11" si="4">AH9/$AH$5</f>
        <v>281.21756203291199</v>
      </c>
      <c r="K9" s="155">
        <f t="shared" ref="K9:K11" si="5">AI9/$AI$5</f>
        <v>354.89075707041525</v>
      </c>
      <c r="L9" s="155">
        <f t="shared" ref="L9:L11" si="6">AJ9/$AJ$5</f>
        <v>401.70326676456182</v>
      </c>
      <c r="M9" s="166">
        <f t="shared" si="0"/>
        <v>-46.81250969414657</v>
      </c>
      <c r="N9" s="299">
        <f t="shared" si="1"/>
        <v>-129.11250832332604</v>
      </c>
      <c r="O9" s="113"/>
      <c r="AF9" s="153" t="s">
        <v>351</v>
      </c>
      <c r="AG9" s="162">
        <f>P67/1000</f>
        <v>894.64286920413576</v>
      </c>
      <c r="AH9" s="155">
        <f>S68/1000</f>
        <v>927.93358943999976</v>
      </c>
      <c r="AI9" s="155">
        <f>V69/1000</f>
        <v>1153.4978787984001</v>
      </c>
      <c r="AJ9" s="155">
        <f>Y74/1000</f>
        <v>1292.8458107877334</v>
      </c>
      <c r="AK9" s="166">
        <f t="shared" si="2"/>
        <v>-139.34793198933335</v>
      </c>
      <c r="AL9" s="158">
        <f t="shared" si="3"/>
        <v>-398.20294158359764</v>
      </c>
    </row>
    <row r="10" spans="2:38">
      <c r="B10" s="112"/>
      <c r="C10" s="125"/>
      <c r="D10" s="125"/>
      <c r="E10" s="125"/>
      <c r="F10" s="125"/>
      <c r="G10" s="125"/>
      <c r="H10" s="153" t="s">
        <v>352</v>
      </c>
      <c r="I10" s="162">
        <f>AG10/$AG$5</f>
        <v>78.500243365045833</v>
      </c>
      <c r="J10" s="155">
        <f t="shared" si="4"/>
        <v>141.42849381540975</v>
      </c>
      <c r="K10" s="155">
        <f t="shared" si="5"/>
        <v>73.383459125318097</v>
      </c>
      <c r="L10" s="155">
        <f t="shared" si="6"/>
        <v>90.20443653063532</v>
      </c>
      <c r="M10" s="166">
        <f t="shared" si="0"/>
        <v>-16.820977405317223</v>
      </c>
      <c r="N10" s="158">
        <f t="shared" si="1"/>
        <v>-11.704193165589487</v>
      </c>
      <c r="O10" s="113"/>
      <c r="AF10" s="153" t="s">
        <v>352</v>
      </c>
      <c r="AG10" s="162">
        <f>P50/1000</f>
        <v>257.63779872408043</v>
      </c>
      <c r="AH10" s="155">
        <f>SUM(S50:S51)/1000</f>
        <v>466.67160104270761</v>
      </c>
      <c r="AI10" s="155">
        <f>SUM(V50:V51)/1000</f>
        <v>238.51752336043018</v>
      </c>
      <c r="AJ10" s="155">
        <f>SUM(Y50:Y51)/1000</f>
        <v>290.31486057456203</v>
      </c>
      <c r="AK10" s="166">
        <f t="shared" si="2"/>
        <v>-51.797337214131858</v>
      </c>
      <c r="AL10" s="158">
        <f t="shared" si="3"/>
        <v>-32.677061850481607</v>
      </c>
    </row>
    <row r="11" spans="2:38">
      <c r="B11" s="112"/>
      <c r="C11" s="125"/>
      <c r="D11" s="125"/>
      <c r="E11" s="125"/>
      <c r="F11" s="125"/>
      <c r="G11" s="125"/>
      <c r="H11" s="153" t="s">
        <v>353</v>
      </c>
      <c r="I11" s="162">
        <f>AG11/$AG$5</f>
        <v>488.35903641446055</v>
      </c>
      <c r="J11" s="155">
        <f t="shared" si="4"/>
        <v>416.2266985109398</v>
      </c>
      <c r="K11" s="155">
        <f t="shared" si="5"/>
        <v>570.44553740572962</v>
      </c>
      <c r="L11" s="155">
        <f t="shared" si="6"/>
        <v>420.79153617041408</v>
      </c>
      <c r="M11" s="166">
        <f t="shared" si="0"/>
        <v>149.65400123531555</v>
      </c>
      <c r="N11" s="158">
        <f t="shared" si="1"/>
        <v>67.567500244046471</v>
      </c>
      <c r="O11" s="113"/>
      <c r="Q11" s="151">
        <f t="shared" ref="Q11:Q23" si="7">AG12/1000</f>
        <v>4.722940686406246</v>
      </c>
      <c r="R11" s="151">
        <f t="shared" ref="R11:R23" si="8">AH12/1000</f>
        <v>5.1647399449575255</v>
      </c>
      <c r="S11" s="151">
        <f t="shared" ref="S11:S23" si="9">AI12/1000</f>
        <v>6.2919556171126167</v>
      </c>
      <c r="T11" s="151">
        <f t="shared" ref="T11:T23" si="10">AJ12/1000</f>
        <v>6.432028618812077</v>
      </c>
      <c r="AF11" s="153" t="s">
        <v>353</v>
      </c>
      <c r="AG11" s="162">
        <f>AG12-SUM(AG8:AG10)</f>
        <v>1602.7943575122595</v>
      </c>
      <c r="AH11" s="155">
        <f>AH12-SUM(AH8:AH10)</f>
        <v>1373.423237076548</v>
      </c>
      <c r="AI11" s="155">
        <f>AI12-SUM(AI8:AI10)</f>
        <v>1854.1134257744689</v>
      </c>
      <c r="AJ11" s="155">
        <f>AJ12-SUM(AJ8:AJ10)</f>
        <v>1354.2796879262223</v>
      </c>
      <c r="AK11" s="166">
        <f t="shared" si="2"/>
        <v>499.83373784824653</v>
      </c>
      <c r="AL11" s="158">
        <f t="shared" si="3"/>
        <v>248.51466958603714</v>
      </c>
    </row>
    <row r="12" spans="2:38">
      <c r="B12" s="112"/>
      <c r="C12" s="125"/>
      <c r="D12" s="125"/>
      <c r="E12" s="125"/>
      <c r="F12" s="125"/>
      <c r="G12" s="125"/>
      <c r="H12" s="154" t="s">
        <v>361</v>
      </c>
      <c r="I12" s="163">
        <f>SUM(I8:I11)</f>
        <v>1439.0434754437069</v>
      </c>
      <c r="J12" s="152">
        <f>SUM(J8:J11)</f>
        <v>1565.2150028661774</v>
      </c>
      <c r="K12" s="152">
        <f>SUM(K8:K11)</f>
        <v>1935.8136095894879</v>
      </c>
      <c r="L12" s="152">
        <f>SUM(L8:L11)</f>
        <v>1998.5112582958907</v>
      </c>
      <c r="M12" s="167">
        <f t="shared" si="0"/>
        <v>-62.697648706402788</v>
      </c>
      <c r="N12" s="159">
        <f t="shared" si="1"/>
        <v>-559.46778285218375</v>
      </c>
      <c r="O12" s="113"/>
      <c r="Q12" s="151">
        <f t="shared" si="7"/>
        <v>1.0237886934113625</v>
      </c>
      <c r="R12" s="151">
        <f t="shared" si="8"/>
        <v>1.1667594208730709</v>
      </c>
      <c r="S12" s="151">
        <f t="shared" si="9"/>
        <v>1.4386319886295975</v>
      </c>
      <c r="T12" s="151">
        <f t="shared" si="10"/>
        <v>1.2423698482352035</v>
      </c>
      <c r="AF12" s="154" t="s">
        <v>361</v>
      </c>
      <c r="AG12" s="163">
        <v>4722.9406864062457</v>
      </c>
      <c r="AH12" s="152">
        <v>5164.7399449575259</v>
      </c>
      <c r="AI12" s="152">
        <v>6291.9556171126169</v>
      </c>
      <c r="AJ12" s="152">
        <v>6432.0286188120772</v>
      </c>
      <c r="AK12" s="167">
        <f t="shared" si="2"/>
        <v>-140.07300169946029</v>
      </c>
      <c r="AL12" s="159">
        <f t="shared" si="3"/>
        <v>-1709.0879324058315</v>
      </c>
    </row>
    <row r="13" spans="2:38">
      <c r="B13" s="112"/>
      <c r="C13" s="125"/>
      <c r="D13" s="125"/>
      <c r="E13" s="125"/>
      <c r="F13" s="125"/>
      <c r="G13" s="125"/>
      <c r="H13" s="153" t="s">
        <v>283</v>
      </c>
      <c r="I13" s="162">
        <f t="shared" ref="I13:I23" si="11">AG13/$AG$5</f>
        <v>311.94049159395564</v>
      </c>
      <c r="J13" s="155">
        <f t="shared" ref="J13:J17" si="12">AH13/$AH$5</f>
        <v>353.59560592571171</v>
      </c>
      <c r="K13" s="155">
        <f t="shared" ref="K13:K17" si="13">AI13/$AI$5</f>
        <v>442.61650149051241</v>
      </c>
      <c r="L13" s="155">
        <f t="shared" ref="L13:L17" si="14">AJ13/$AJ$5</f>
        <v>386.01975765524082</v>
      </c>
      <c r="M13" s="168">
        <f t="shared" si="0"/>
        <v>56.596743835271582</v>
      </c>
      <c r="N13" s="160">
        <f t="shared" si="1"/>
        <v>-74.079266061285182</v>
      </c>
      <c r="O13" s="113"/>
      <c r="Q13" s="151">
        <f t="shared" si="7"/>
        <v>1.1162807321315409</v>
      </c>
      <c r="R13" s="151">
        <f t="shared" si="8"/>
        <v>2.1986886423166263</v>
      </c>
      <c r="S13" s="151">
        <f t="shared" si="9"/>
        <v>1.45874796337837</v>
      </c>
      <c r="T13" s="151">
        <f t="shared" si="10"/>
        <v>1.4441749405213384</v>
      </c>
      <c r="AF13" s="153" t="s">
        <v>283</v>
      </c>
      <c r="AG13" s="162">
        <v>1023.7886934113624</v>
      </c>
      <c r="AH13" s="155">
        <v>1166.7594208730709</v>
      </c>
      <c r="AI13" s="155">
        <v>1438.6319886295976</v>
      </c>
      <c r="AJ13" s="155">
        <v>1242.3698482352036</v>
      </c>
      <c r="AK13" s="168">
        <f t="shared" si="2"/>
        <v>196.26214039439401</v>
      </c>
      <c r="AL13" s="160">
        <f t="shared" si="3"/>
        <v>-218.58115482384119</v>
      </c>
    </row>
    <row r="14" spans="2:38">
      <c r="B14" s="112"/>
      <c r="C14" s="125"/>
      <c r="D14" s="125"/>
      <c r="E14" s="125"/>
      <c r="F14" s="125"/>
      <c r="G14" s="125"/>
      <c r="H14" s="153" t="s">
        <v>286</v>
      </c>
      <c r="I14" s="162">
        <f t="shared" si="11"/>
        <v>340.12209997914101</v>
      </c>
      <c r="J14" s="155">
        <f t="shared" si="12"/>
        <v>666.32986099240111</v>
      </c>
      <c r="K14" s="155">
        <f t="shared" si="13"/>
        <v>448.805479935135</v>
      </c>
      <c r="L14" s="155">
        <f t="shared" si="14"/>
        <v>448.72310877773134</v>
      </c>
      <c r="M14" s="168">
        <f t="shared" si="0"/>
        <v>8.2371157403656525E-2</v>
      </c>
      <c r="N14" s="160">
        <f t="shared" si="1"/>
        <v>-108.60100879859033</v>
      </c>
      <c r="O14" s="113"/>
      <c r="Q14" s="151">
        <f t="shared" si="7"/>
        <v>0.10763121400000002</v>
      </c>
      <c r="R14" s="151">
        <f t="shared" si="8"/>
        <v>0.1126947068105781</v>
      </c>
      <c r="S14" s="151">
        <f t="shared" si="9"/>
        <v>0.20173353756083293</v>
      </c>
      <c r="T14" s="151">
        <f t="shared" si="10"/>
        <v>0.19295875613379188</v>
      </c>
      <c r="AF14" s="153" t="s">
        <v>286</v>
      </c>
      <c r="AG14" s="162">
        <v>1116.2807321315408</v>
      </c>
      <c r="AH14" s="155">
        <v>2198.6886423166261</v>
      </c>
      <c r="AI14" s="155">
        <v>1458.7479633783701</v>
      </c>
      <c r="AJ14" s="155">
        <v>1444.1749405213384</v>
      </c>
      <c r="AK14" s="168">
        <f t="shared" si="2"/>
        <v>14.573022857031674</v>
      </c>
      <c r="AL14" s="160">
        <f t="shared" si="3"/>
        <v>-327.89420838979754</v>
      </c>
    </row>
    <row r="15" spans="2:38">
      <c r="B15" s="112"/>
      <c r="C15" s="125"/>
      <c r="D15" s="125"/>
      <c r="E15" s="125"/>
      <c r="F15" s="125"/>
      <c r="G15" s="125"/>
      <c r="H15" s="153" t="s">
        <v>288</v>
      </c>
      <c r="I15" s="162">
        <f t="shared" si="11"/>
        <v>32.794397928092629</v>
      </c>
      <c r="J15" s="155">
        <f t="shared" si="12"/>
        <v>34.153015974354666</v>
      </c>
      <c r="K15" s="155">
        <f t="shared" si="13"/>
        <v>62.066319485594491</v>
      </c>
      <c r="L15" s="155">
        <f t="shared" si="14"/>
        <v>59.954684497559931</v>
      </c>
      <c r="M15" s="168">
        <f t="shared" si="0"/>
        <v>2.1116349880345595</v>
      </c>
      <c r="N15" s="160">
        <f t="shared" si="1"/>
        <v>-27.160286569467303</v>
      </c>
      <c r="O15" s="113"/>
      <c r="Q15" s="151">
        <f t="shared" si="7"/>
        <v>0.68924521181199416</v>
      </c>
      <c r="R15" s="151">
        <f t="shared" si="8"/>
        <v>0.70534295144677506</v>
      </c>
      <c r="S15" s="151">
        <f t="shared" si="9"/>
        <v>0.74471451642885378</v>
      </c>
      <c r="T15" s="151">
        <f t="shared" si="10"/>
        <v>0.78934529187628832</v>
      </c>
      <c r="AF15" s="153" t="s">
        <v>288</v>
      </c>
      <c r="AG15" s="162">
        <v>107.63121400000001</v>
      </c>
      <c r="AH15" s="155">
        <v>112.6947068105781</v>
      </c>
      <c r="AI15" s="155">
        <v>201.73353756083293</v>
      </c>
      <c r="AJ15" s="155">
        <v>192.95875613379187</v>
      </c>
      <c r="AK15" s="168">
        <f t="shared" si="2"/>
        <v>8.7747814270410629</v>
      </c>
      <c r="AL15" s="160">
        <f t="shared" si="3"/>
        <v>-85.327542133791852</v>
      </c>
    </row>
    <row r="16" spans="2:38">
      <c r="B16" s="112"/>
      <c r="C16" s="125"/>
      <c r="D16" s="125"/>
      <c r="E16" s="125"/>
      <c r="F16" s="125"/>
      <c r="G16" s="125"/>
      <c r="H16" s="153" t="s">
        <v>289</v>
      </c>
      <c r="I16" s="162">
        <f t="shared" si="11"/>
        <v>210.00768184399578</v>
      </c>
      <c r="J16" s="155">
        <f t="shared" si="12"/>
        <v>213.75972101911537</v>
      </c>
      <c r="K16" s="155">
        <f t="shared" si="13"/>
        <v>229.12248335651705</v>
      </c>
      <c r="L16" s="155">
        <f t="shared" si="14"/>
        <v>245.25939575016494</v>
      </c>
      <c r="M16" s="168">
        <f t="shared" si="0"/>
        <v>-16.13691239364789</v>
      </c>
      <c r="N16" s="160">
        <f t="shared" si="1"/>
        <v>-35.251713906169158</v>
      </c>
      <c r="O16" s="113"/>
      <c r="Q16" s="151">
        <f t="shared" si="7"/>
        <v>0.19729276501866977</v>
      </c>
      <c r="R16" s="151">
        <f t="shared" si="8"/>
        <v>0.31932418694025905</v>
      </c>
      <c r="S16" s="151">
        <f t="shared" si="9"/>
        <v>0.30605784664720281</v>
      </c>
      <c r="T16" s="151">
        <f t="shared" si="10"/>
        <v>0.31130543703545405</v>
      </c>
      <c r="AF16" s="153" t="s">
        <v>289</v>
      </c>
      <c r="AG16" s="162">
        <v>689.24521181199418</v>
      </c>
      <c r="AH16" s="155">
        <v>705.34295144677503</v>
      </c>
      <c r="AI16" s="155">
        <v>744.71451642885381</v>
      </c>
      <c r="AJ16" s="155">
        <v>789.34529187628834</v>
      </c>
      <c r="AK16" s="168">
        <f t="shared" si="2"/>
        <v>-44.63077544743453</v>
      </c>
      <c r="AL16" s="160">
        <f t="shared" si="3"/>
        <v>-100.10008006429416</v>
      </c>
    </row>
    <row r="17" spans="2:38">
      <c r="B17" s="112"/>
      <c r="C17" s="125"/>
      <c r="D17" s="125"/>
      <c r="E17" s="125"/>
      <c r="F17" s="125"/>
      <c r="G17" s="125"/>
      <c r="H17" s="153" t="s">
        <v>292</v>
      </c>
      <c r="I17" s="162">
        <f t="shared" si="11"/>
        <v>60.113578616291825</v>
      </c>
      <c r="J17" s="155">
        <f t="shared" si="12"/>
        <v>96.773702742752079</v>
      </c>
      <c r="K17" s="155">
        <f t="shared" si="13"/>
        <v>94.163242863622273</v>
      </c>
      <c r="L17" s="155">
        <f t="shared" si="14"/>
        <v>96.726469603143798</v>
      </c>
      <c r="M17" s="168">
        <f t="shared" si="0"/>
        <v>-2.5632267395215251</v>
      </c>
      <c r="N17" s="160">
        <f t="shared" si="1"/>
        <v>-36.612890986851973</v>
      </c>
      <c r="O17" s="113"/>
      <c r="Q17" s="151">
        <f t="shared" si="7"/>
        <v>3.1342386163735672</v>
      </c>
      <c r="R17" s="151">
        <f t="shared" si="8"/>
        <v>4.5028099083873094</v>
      </c>
      <c r="S17" s="151">
        <f t="shared" si="9"/>
        <v>4.1498858526448563</v>
      </c>
      <c r="T17" s="151">
        <f t="shared" si="10"/>
        <v>3.9801542738020759</v>
      </c>
      <c r="AF17" s="153" t="s">
        <v>292</v>
      </c>
      <c r="AG17" s="162">
        <v>197.29276501866977</v>
      </c>
      <c r="AH17" s="155">
        <v>319.32418694025904</v>
      </c>
      <c r="AI17" s="155">
        <v>306.05784664720284</v>
      </c>
      <c r="AJ17" s="155">
        <v>311.30543703545402</v>
      </c>
      <c r="AK17" s="168">
        <f t="shared" si="2"/>
        <v>-5.247590388251183</v>
      </c>
      <c r="AL17" s="160">
        <f t="shared" si="3"/>
        <v>-114.01267201678425</v>
      </c>
    </row>
    <row r="18" spans="2:38">
      <c r="B18" s="112"/>
      <c r="C18" s="125"/>
      <c r="D18" s="125"/>
      <c r="E18" s="125"/>
      <c r="F18" s="125"/>
      <c r="G18" s="125"/>
      <c r="H18" s="154" t="s">
        <v>370</v>
      </c>
      <c r="I18" s="163">
        <f>SUM(I13:I17)</f>
        <v>954.97824996147688</v>
      </c>
      <c r="J18" s="152">
        <f t="shared" ref="J18:L18" si="15">SUM(J13:J17)</f>
        <v>1364.6119066543349</v>
      </c>
      <c r="K18" s="152">
        <f t="shared" si="15"/>
        <v>1276.7740271313812</v>
      </c>
      <c r="L18" s="152">
        <f t="shared" si="15"/>
        <v>1236.6834162838409</v>
      </c>
      <c r="M18" s="167">
        <f t="shared" si="0"/>
        <v>40.090610847540347</v>
      </c>
      <c r="N18" s="159">
        <f t="shared" si="1"/>
        <v>-281.70516632236399</v>
      </c>
      <c r="O18" s="113"/>
      <c r="Q18" s="151">
        <f t="shared" si="7"/>
        <v>0.73266599807794919</v>
      </c>
      <c r="R18" s="151">
        <f t="shared" si="8"/>
        <v>1.065124790911911</v>
      </c>
      <c r="S18" s="151">
        <f t="shared" si="9"/>
        <v>1.6278323621257647</v>
      </c>
      <c r="T18" s="151">
        <f t="shared" si="10"/>
        <v>1.2485486502218182</v>
      </c>
      <c r="AF18" s="154" t="s">
        <v>370</v>
      </c>
      <c r="AG18" s="163">
        <f>SUM(AG13:AG17)</f>
        <v>3134.2386163735673</v>
      </c>
      <c r="AH18" s="152">
        <f t="shared" ref="AH18:AJ18" si="16">SUM(AH13:AH17)</f>
        <v>4502.8099083873094</v>
      </c>
      <c r="AI18" s="152">
        <f t="shared" si="16"/>
        <v>4149.8858526448566</v>
      </c>
      <c r="AJ18" s="152">
        <f t="shared" si="16"/>
        <v>3980.1542738020757</v>
      </c>
      <c r="AK18" s="167">
        <f t="shared" si="2"/>
        <v>169.73157884278089</v>
      </c>
      <c r="AL18" s="159">
        <f t="shared" si="3"/>
        <v>-845.91565742850844</v>
      </c>
    </row>
    <row r="19" spans="2:38">
      <c r="B19" s="112"/>
      <c r="C19" s="125"/>
      <c r="D19" s="125"/>
      <c r="E19" s="125"/>
      <c r="F19" s="125"/>
      <c r="G19" s="125"/>
      <c r="H19" s="153" t="s">
        <v>287</v>
      </c>
      <c r="I19" s="162">
        <f t="shared" si="11"/>
        <v>223.23765937780291</v>
      </c>
      <c r="J19" s="155">
        <f t="shared" ref="J19:J20" si="17">AH19/$AH$5</f>
        <v>322.79443310358852</v>
      </c>
      <c r="K19" s="155">
        <f t="shared" ref="K19:K20" si="18">AI19/$AI$5</f>
        <v>500.82680687746773</v>
      </c>
      <c r="L19" s="155">
        <f t="shared" ref="L19:L20" si="19">AJ19/$AJ$5</f>
        <v>387.93958825066358</v>
      </c>
      <c r="M19" s="168">
        <f t="shared" si="0"/>
        <v>112.88721862680416</v>
      </c>
      <c r="N19" s="160">
        <f t="shared" si="1"/>
        <v>-164.70192887286066</v>
      </c>
      <c r="O19" s="113"/>
      <c r="Q19" s="151">
        <f t="shared" si="7"/>
        <v>0.24725795157783617</v>
      </c>
      <c r="R19" s="151">
        <f t="shared" si="8"/>
        <v>0.19999004084950503</v>
      </c>
      <c r="S19" s="151">
        <f t="shared" si="9"/>
        <v>0.12802844789955098</v>
      </c>
      <c r="T19" s="151">
        <f t="shared" si="10"/>
        <v>0.13346331810881995</v>
      </c>
      <c r="AF19" s="153" t="s">
        <v>287</v>
      </c>
      <c r="AG19" s="162">
        <v>732.66599807794921</v>
      </c>
      <c r="AH19" s="155">
        <v>1065.1247909119111</v>
      </c>
      <c r="AI19" s="155">
        <v>1627.8323621257646</v>
      </c>
      <c r="AJ19" s="155">
        <v>1248.5486502218182</v>
      </c>
      <c r="AK19" s="168">
        <f t="shared" si="2"/>
        <v>379.28371190394637</v>
      </c>
      <c r="AL19" s="160">
        <f t="shared" si="3"/>
        <v>-515.882652143869</v>
      </c>
    </row>
    <row r="20" spans="2:38">
      <c r="B20" s="112"/>
      <c r="C20" s="125"/>
      <c r="D20" s="125"/>
      <c r="E20" s="125"/>
      <c r="F20" s="125"/>
      <c r="G20" s="125"/>
      <c r="H20" s="153" t="s">
        <v>290</v>
      </c>
      <c r="I20" s="162">
        <f t="shared" si="11"/>
        <v>75.33758427112619</v>
      </c>
      <c r="J20" s="155">
        <f t="shared" si="17"/>
        <v>60.608552550081832</v>
      </c>
      <c r="K20" s="155">
        <f t="shared" si="18"/>
        <v>39.389853797522981</v>
      </c>
      <c r="L20" s="155">
        <f t="shared" si="19"/>
        <v>41.468712223992576</v>
      </c>
      <c r="M20" s="168">
        <f t="shared" si="0"/>
        <v>-2.0788584264695942</v>
      </c>
      <c r="N20" s="160">
        <f t="shared" si="1"/>
        <v>33.868872047133614</v>
      </c>
      <c r="O20" s="113"/>
      <c r="Q20" s="151">
        <f t="shared" si="7"/>
        <v>0.97992394965578533</v>
      </c>
      <c r="R20" s="151">
        <f t="shared" si="8"/>
        <v>1.265114831761416</v>
      </c>
      <c r="S20" s="151">
        <f t="shared" si="9"/>
        <v>1.7558608100253155</v>
      </c>
      <c r="T20" s="151">
        <f t="shared" si="10"/>
        <v>1.3820119683306382</v>
      </c>
      <c r="AF20" s="153" t="s">
        <v>290</v>
      </c>
      <c r="AG20" s="162">
        <v>247.25795157783617</v>
      </c>
      <c r="AH20" s="155">
        <v>199.99004084950502</v>
      </c>
      <c r="AI20" s="155">
        <v>128.02844789955097</v>
      </c>
      <c r="AJ20" s="155">
        <v>133.46331810881995</v>
      </c>
      <c r="AK20" s="168">
        <f t="shared" si="2"/>
        <v>-5.4348702092689791</v>
      </c>
      <c r="AL20" s="160">
        <f t="shared" si="3"/>
        <v>113.79463346901622</v>
      </c>
    </row>
    <row r="21" spans="2:38">
      <c r="B21" s="112"/>
      <c r="C21" s="125"/>
      <c r="D21" s="125"/>
      <c r="E21" s="125"/>
      <c r="F21" s="125"/>
      <c r="G21" s="125"/>
      <c r="H21" s="154" t="s">
        <v>357</v>
      </c>
      <c r="I21" s="163">
        <f>I19+I20</f>
        <v>298.57524364892913</v>
      </c>
      <c r="J21" s="152">
        <f>J19+J20</f>
        <v>383.40298565367033</v>
      </c>
      <c r="K21" s="152">
        <f>K19+K20</f>
        <v>540.21666067499075</v>
      </c>
      <c r="L21" s="152">
        <f>L19+L20</f>
        <v>429.40830047465613</v>
      </c>
      <c r="M21" s="167">
        <f t="shared" si="0"/>
        <v>110.80836020033462</v>
      </c>
      <c r="N21" s="159">
        <f t="shared" si="1"/>
        <v>-130.833056825727</v>
      </c>
      <c r="O21" s="113"/>
      <c r="Q21" s="151">
        <f t="shared" si="7"/>
        <v>2.6318530092784336</v>
      </c>
      <c r="R21" s="151">
        <f t="shared" si="8"/>
        <v>2.6715681703630736</v>
      </c>
      <c r="S21" s="151">
        <f t="shared" si="9"/>
        <v>2.4584731006460423</v>
      </c>
      <c r="T21" s="151">
        <f t="shared" si="10"/>
        <v>2.3250984139722357</v>
      </c>
      <c r="AF21" s="154" t="s">
        <v>357</v>
      </c>
      <c r="AG21" s="163">
        <f>AG19+AG20</f>
        <v>979.92394965578535</v>
      </c>
      <c r="AH21" s="152">
        <f>AH19+AH20</f>
        <v>1265.1148317614161</v>
      </c>
      <c r="AI21" s="152">
        <f>AI19+AI20</f>
        <v>1755.8608100253155</v>
      </c>
      <c r="AJ21" s="152">
        <f>AJ19+AJ20</f>
        <v>1382.0119683306382</v>
      </c>
      <c r="AK21" s="167">
        <f t="shared" si="2"/>
        <v>373.84884169467728</v>
      </c>
      <c r="AL21" s="159">
        <f t="shared" si="3"/>
        <v>-402.08801867485283</v>
      </c>
    </row>
    <row r="22" spans="2:38">
      <c r="B22" s="112"/>
      <c r="C22" s="125"/>
      <c r="D22" s="125"/>
      <c r="E22" s="125"/>
      <c r="F22" s="125"/>
      <c r="G22" s="125"/>
      <c r="H22" s="153" t="s">
        <v>372</v>
      </c>
      <c r="I22" s="162">
        <f t="shared" si="11"/>
        <v>801.9052435339529</v>
      </c>
      <c r="J22" s="155">
        <f t="shared" ref="J22:J23" si="20">AH22/$AH$5</f>
        <v>809.63971584176545</v>
      </c>
      <c r="K22" s="155">
        <f t="shared" ref="K22:K23" si="21">AI22/$AI$5</f>
        <v>756.38576885325381</v>
      </c>
      <c r="L22" s="155">
        <f t="shared" ref="L22:L23" si="22">AJ22/$AJ$5</f>
        <v>722.43698409221815</v>
      </c>
      <c r="M22" s="168">
        <f t="shared" si="0"/>
        <v>33.948784761035654</v>
      </c>
      <c r="N22" s="160">
        <f t="shared" si="1"/>
        <v>79.468259441734745</v>
      </c>
      <c r="O22" s="113"/>
      <c r="Q22" s="151">
        <f t="shared" si="7"/>
        <v>2.459132310649514</v>
      </c>
      <c r="R22" s="151">
        <f t="shared" si="8"/>
        <v>3.2372353545292816</v>
      </c>
      <c r="S22" s="151">
        <f t="shared" si="9"/>
        <v>5.8443185844269401</v>
      </c>
      <c r="T22" s="151">
        <f t="shared" si="10"/>
        <v>3.3076761416158917</v>
      </c>
      <c r="AF22" s="153" t="s">
        <v>372</v>
      </c>
      <c r="AG22" s="162">
        <f>SUM(Q36:Q37)/1000</f>
        <v>2631.8530092784335</v>
      </c>
      <c r="AH22" s="155">
        <f>SUM(R36:R37)/1000</f>
        <v>2671.5681703630735</v>
      </c>
      <c r="AI22" s="155">
        <f>SUM(S36:S37)/1000</f>
        <v>2458.4731006460424</v>
      </c>
      <c r="AJ22" s="155">
        <f>SUM(T36:T37)/1000</f>
        <v>2325.0984139722359</v>
      </c>
      <c r="AK22" s="168">
        <f t="shared" si="2"/>
        <v>133.37468667380654</v>
      </c>
      <c r="AL22" s="160">
        <f t="shared" si="3"/>
        <v>306.75459530619764</v>
      </c>
    </row>
    <row r="23" spans="2:38">
      <c r="B23" s="112"/>
      <c r="C23" s="125"/>
      <c r="D23" s="125"/>
      <c r="E23" s="125"/>
      <c r="F23" s="125"/>
      <c r="G23" s="125"/>
      <c r="H23" s="153" t="s">
        <v>358</v>
      </c>
      <c r="I23" s="162">
        <f t="shared" si="11"/>
        <v>749.27858337888904</v>
      </c>
      <c r="J23" s="155">
        <f t="shared" si="20"/>
        <v>981.06959860874679</v>
      </c>
      <c r="K23" s="155">
        <f t="shared" si="21"/>
        <v>1798.0914270501833</v>
      </c>
      <c r="L23" s="155">
        <f t="shared" si="22"/>
        <v>1027.7361000046269</v>
      </c>
      <c r="M23" s="168">
        <f t="shared" si="0"/>
        <v>770.35532704555635</v>
      </c>
      <c r="N23" s="160">
        <f t="shared" si="1"/>
        <v>-278.45751662573787</v>
      </c>
      <c r="O23" s="113"/>
      <c r="Q23" s="151">
        <f t="shared" si="7"/>
        <v>5.090985319927948</v>
      </c>
      <c r="R23" s="151">
        <f t="shared" si="8"/>
        <v>5.9088035248923552</v>
      </c>
      <c r="S23" s="151">
        <f t="shared" si="9"/>
        <v>8.3027916850729824</v>
      </c>
      <c r="T23" s="151">
        <f t="shared" si="10"/>
        <v>5.632774555588127</v>
      </c>
      <c r="AF23" s="153" t="s">
        <v>358</v>
      </c>
      <c r="AG23" s="162">
        <v>2459.1323106495138</v>
      </c>
      <c r="AH23" s="155">
        <v>3237.2353545292817</v>
      </c>
      <c r="AI23" s="155">
        <v>5844.3185844269401</v>
      </c>
      <c r="AJ23" s="155">
        <v>3307.6761416158915</v>
      </c>
      <c r="AK23" s="168">
        <f t="shared" si="2"/>
        <v>2536.6424428110486</v>
      </c>
      <c r="AL23" s="160">
        <f t="shared" si="3"/>
        <v>-848.54383096637775</v>
      </c>
    </row>
    <row r="24" spans="2:38">
      <c r="B24" s="112"/>
      <c r="C24" s="125"/>
      <c r="D24" s="125"/>
      <c r="E24" s="125"/>
      <c r="F24" s="125"/>
      <c r="G24" s="125"/>
      <c r="H24" s="154" t="s">
        <v>359</v>
      </c>
      <c r="I24" s="163">
        <f>I22+I23</f>
        <v>1551.1838269128421</v>
      </c>
      <c r="J24" s="152">
        <f>J22+J23</f>
        <v>1790.7093144505122</v>
      </c>
      <c r="K24" s="152">
        <f>K22+K23</f>
        <v>2554.477195903437</v>
      </c>
      <c r="L24" s="152">
        <f>L22+L23</f>
        <v>1750.1730840968451</v>
      </c>
      <c r="M24" s="167">
        <f t="shared" si="0"/>
        <v>804.30411180659189</v>
      </c>
      <c r="N24" s="159">
        <f t="shared" si="1"/>
        <v>-198.98925718400301</v>
      </c>
      <c r="O24" s="113"/>
      <c r="AF24" s="154" t="s">
        <v>359</v>
      </c>
      <c r="AG24" s="163">
        <f>AG22+AG23</f>
        <v>5090.9853199279478</v>
      </c>
      <c r="AH24" s="152">
        <f>AH22+AH23</f>
        <v>5908.8035248923552</v>
      </c>
      <c r="AI24" s="152">
        <f>AI22+AI23</f>
        <v>8302.7916850729816</v>
      </c>
      <c r="AJ24" s="152">
        <f>AJ22+AJ23</f>
        <v>5632.7745555881274</v>
      </c>
      <c r="AK24" s="167">
        <f t="shared" si="2"/>
        <v>2670.0171294848542</v>
      </c>
      <c r="AL24" s="159">
        <f t="shared" si="3"/>
        <v>-541.78923566017966</v>
      </c>
    </row>
    <row r="25" spans="2:38" ht="15.75" thickBot="1">
      <c r="B25" s="112"/>
      <c r="C25" s="125"/>
      <c r="D25" s="125"/>
      <c r="E25" s="125"/>
      <c r="F25" s="125"/>
      <c r="G25" s="125"/>
      <c r="H25" s="156" t="s">
        <v>360</v>
      </c>
      <c r="I25" s="164">
        <f>I12+I18+I21+I24</f>
        <v>4243.7807959669553</v>
      </c>
      <c r="J25" s="157">
        <f>J12+J18+J21+J24</f>
        <v>5103.9392096246947</v>
      </c>
      <c r="K25" s="157">
        <f>K12+K18+K21+K24</f>
        <v>6307.2814932992969</v>
      </c>
      <c r="L25" s="157">
        <f>L12+L18+L21+L24</f>
        <v>5414.7760591512324</v>
      </c>
      <c r="M25" s="169">
        <f t="shared" si="0"/>
        <v>892.50543414806452</v>
      </c>
      <c r="N25" s="161">
        <f t="shared" si="1"/>
        <v>-1170.9952631842771</v>
      </c>
      <c r="O25" s="113"/>
      <c r="AF25" s="156" t="s">
        <v>360</v>
      </c>
      <c r="AG25" s="164">
        <f>AG12+AG18+AG21+AG24</f>
        <v>13928.088572363546</v>
      </c>
      <c r="AH25" s="157">
        <f>AH12+AH18+AH21+AH24</f>
        <v>16841.468209998606</v>
      </c>
      <c r="AI25" s="157">
        <f>AI12+AI18+AI21+AI24</f>
        <v>20500.49396485577</v>
      </c>
      <c r="AJ25" s="157">
        <f>AJ12+AJ18+AJ21+AJ24</f>
        <v>17426.96941653292</v>
      </c>
      <c r="AK25" s="169">
        <f t="shared" si="2"/>
        <v>3073.52454832285</v>
      </c>
      <c r="AL25" s="161">
        <f t="shared" si="3"/>
        <v>-3498.8808441693745</v>
      </c>
    </row>
    <row r="26" spans="2:38">
      <c r="B26" s="112"/>
      <c r="C26" s="125"/>
      <c r="D26" s="125"/>
      <c r="E26" s="125"/>
      <c r="F26" s="125"/>
      <c r="G26" s="125"/>
      <c r="H26" s="125"/>
      <c r="I26" s="125"/>
      <c r="J26" s="125"/>
      <c r="K26" s="125"/>
      <c r="L26" s="125"/>
      <c r="M26" s="125"/>
      <c r="N26" s="125"/>
      <c r="O26" s="113"/>
    </row>
    <row r="27" spans="2:38">
      <c r="B27" s="112"/>
      <c r="C27" s="125"/>
      <c r="D27" s="125"/>
      <c r="E27" s="125"/>
      <c r="F27" s="125"/>
      <c r="G27" s="125"/>
      <c r="H27" s="125"/>
      <c r="I27" s="125"/>
      <c r="J27" s="125"/>
      <c r="K27" s="125"/>
      <c r="L27" s="125"/>
      <c r="M27" s="125"/>
      <c r="N27" s="125"/>
      <c r="O27" s="113"/>
      <c r="Q27" s="512">
        <f>N25-N8-N9</f>
        <v>-555.66417325363636</v>
      </c>
    </row>
    <row r="28" spans="2:38">
      <c r="B28" s="112"/>
      <c r="C28" s="125"/>
      <c r="D28" s="125"/>
      <c r="E28" s="125"/>
      <c r="F28" s="125"/>
      <c r="G28" s="125"/>
      <c r="H28" s="125"/>
      <c r="I28" s="125"/>
      <c r="J28" s="125"/>
      <c r="K28" s="125"/>
      <c r="L28" s="125"/>
      <c r="M28" s="125"/>
      <c r="N28" s="125"/>
      <c r="O28" s="113"/>
      <c r="Q28" s="512">
        <f>Q27/2</f>
        <v>-277.83208662681818</v>
      </c>
    </row>
    <row r="29" spans="2:38">
      <c r="B29" s="112"/>
      <c r="C29" s="125"/>
      <c r="D29" s="125"/>
      <c r="E29" s="125"/>
      <c r="F29" s="125"/>
      <c r="G29" s="125"/>
      <c r="H29" s="125"/>
      <c r="I29" s="125"/>
      <c r="J29" s="125"/>
      <c r="K29" s="125"/>
      <c r="L29" s="125"/>
      <c r="M29" s="125"/>
      <c r="N29" s="125"/>
      <c r="O29" s="113"/>
    </row>
    <row r="30" spans="2:38">
      <c r="B30" s="112"/>
      <c r="C30" s="125"/>
      <c r="D30" s="125"/>
      <c r="E30" s="125"/>
      <c r="F30" s="125"/>
      <c r="G30" s="125"/>
      <c r="H30" s="125"/>
      <c r="I30" s="125"/>
      <c r="J30" s="125"/>
      <c r="K30" s="125"/>
      <c r="L30" s="125"/>
      <c r="M30" s="125"/>
      <c r="N30" s="125"/>
      <c r="O30" s="113"/>
    </row>
    <row r="31" spans="2:38">
      <c r="B31" s="112"/>
      <c r="C31" s="125"/>
      <c r="D31" s="125"/>
      <c r="E31" s="125"/>
      <c r="F31" s="125"/>
      <c r="G31" s="125"/>
      <c r="H31" s="125"/>
      <c r="I31" s="125"/>
      <c r="J31" s="125"/>
      <c r="K31" s="125"/>
      <c r="L31" s="125"/>
      <c r="M31" s="125"/>
      <c r="N31" s="125"/>
      <c r="O31" s="113"/>
    </row>
    <row r="32" spans="2:38" ht="13.5" thickBot="1">
      <c r="B32" s="114"/>
      <c r="C32" s="115"/>
      <c r="D32" s="115"/>
      <c r="E32" s="115"/>
      <c r="F32" s="115"/>
      <c r="G32" s="115"/>
      <c r="H32" s="115"/>
      <c r="I32" s="115"/>
      <c r="J32" s="115"/>
      <c r="K32" s="115"/>
      <c r="L32" s="115"/>
      <c r="M32" s="115"/>
      <c r="N32" s="115"/>
      <c r="O32" s="116"/>
    </row>
    <row r="34" spans="1:22" ht="15">
      <c r="G34" s="108" t="s">
        <v>173</v>
      </c>
      <c r="K34" s="108" t="s">
        <v>174</v>
      </c>
      <c r="N34" s="129"/>
      <c r="P34" s="142" t="s">
        <v>281</v>
      </c>
      <c r="Q34" s="130">
        <v>44561</v>
      </c>
      <c r="R34" s="130">
        <v>44651</v>
      </c>
      <c r="S34" s="130">
        <v>44742</v>
      </c>
      <c r="T34" s="130">
        <v>44834</v>
      </c>
    </row>
    <row r="35" spans="1:22" ht="15">
      <c r="B35" s="108" t="s">
        <v>266</v>
      </c>
      <c r="C35" s="108" t="s">
        <v>269</v>
      </c>
      <c r="D35" s="108" t="s">
        <v>270</v>
      </c>
      <c r="E35" s="108" t="s">
        <v>229</v>
      </c>
      <c r="G35" s="108" t="s">
        <v>283</v>
      </c>
      <c r="I35" s="119">
        <f t="shared" ref="I35:I36" si="23">T35/1000</f>
        <v>1242.3698482352036</v>
      </c>
      <c r="K35" s="108" t="s">
        <v>175</v>
      </c>
      <c r="L35" s="121">
        <v>4.6640000000000006</v>
      </c>
      <c r="M35" s="121"/>
      <c r="N35" s="136" t="s">
        <v>273</v>
      </c>
      <c r="P35" s="108" t="s">
        <v>371</v>
      </c>
      <c r="Q35" s="131">
        <v>1023788.6934113624</v>
      </c>
      <c r="R35" s="131">
        <v>1166759.4208730708</v>
      </c>
      <c r="S35" s="131">
        <v>1438631.9886295975</v>
      </c>
      <c r="T35" s="131">
        <v>1242369.8482352037</v>
      </c>
    </row>
    <row r="36" spans="1:22" ht="15.75">
      <c r="A36" s="108" t="s">
        <v>325</v>
      </c>
      <c r="B36" s="122">
        <f>SUMIF($P$35:$P$45,$A$36,Q35:Q45)/Q46</f>
        <v>0.33909467633467094</v>
      </c>
      <c r="C36" s="122">
        <f>SUMIF($P$35:$P$45,$A$36,R35:R45)/R46</f>
        <v>0.30666803395984638</v>
      </c>
      <c r="D36" s="122">
        <f>SUMIF($P$35:$P$45,$A$36,S35:S45)/S46</f>
        <v>0.30691726881796055</v>
      </c>
      <c r="E36" s="122">
        <f>SUMIF($P$35:$P$45,$A$36,T35:T45)/T46</f>
        <v>0.36908474818978165</v>
      </c>
      <c r="G36" s="108" t="s">
        <v>284</v>
      </c>
      <c r="I36" s="119">
        <f t="shared" si="23"/>
        <v>247.54941397223595</v>
      </c>
      <c r="K36" s="108" t="s">
        <v>177</v>
      </c>
      <c r="L36" s="121">
        <v>3.9050000000000002</v>
      </c>
      <c r="M36" s="121"/>
      <c r="N36" s="136" t="s">
        <v>274</v>
      </c>
      <c r="P36" s="108" t="s">
        <v>176</v>
      </c>
      <c r="Q36" s="131">
        <v>428881.00927843357</v>
      </c>
      <c r="R36" s="131">
        <v>845901.17036307359</v>
      </c>
      <c r="S36" s="131">
        <v>916089.10064604203</v>
      </c>
      <c r="T36" s="131">
        <v>247549.41397223595</v>
      </c>
      <c r="V36" s="108" t="s">
        <v>176</v>
      </c>
    </row>
    <row r="37" spans="1:22" ht="15.75">
      <c r="A37" s="108" t="s">
        <v>371</v>
      </c>
      <c r="B37" s="122">
        <f>SUMIF($P$35:$P$45,$A$37,Q35:Q45)/Q46</f>
        <v>0.22503006066407419</v>
      </c>
      <c r="C37" s="122">
        <f>SUMIF($P$35:$P$45,$A$37,R35:R45)/R46</f>
        <v>0.26736445137924714</v>
      </c>
      <c r="D37" s="122">
        <f>SUMIF($P$35:$P$45,$A$37,S35:S45)/S46</f>
        <v>0.20242857853859783</v>
      </c>
      <c r="E37" s="122">
        <f>SUMIF($P$35:$P$45,$A$37,T35:T45)/T46</f>
        <v>0.22839050087653881</v>
      </c>
      <c r="G37" s="108" t="s">
        <v>285</v>
      </c>
      <c r="I37" s="119">
        <f t="shared" ref="I37:I44" si="24">T38/1000</f>
        <v>3307.6761416158915</v>
      </c>
      <c r="K37" s="108" t="s">
        <v>178</v>
      </c>
      <c r="L37" s="121">
        <v>6.16</v>
      </c>
      <c r="M37" s="121"/>
      <c r="N37" s="136" t="s">
        <v>369</v>
      </c>
      <c r="P37" s="108" t="s">
        <v>176</v>
      </c>
      <c r="Q37" s="131">
        <f>AB51</f>
        <v>2202972</v>
      </c>
      <c r="R37" s="131">
        <f>AB52</f>
        <v>1825667</v>
      </c>
      <c r="S37" s="131">
        <f>AB53</f>
        <v>1542384</v>
      </c>
      <c r="T37" s="131">
        <f>AB54</f>
        <v>2077549</v>
      </c>
      <c r="V37" s="108" t="s">
        <v>282</v>
      </c>
    </row>
    <row r="38" spans="1:22" ht="15.75">
      <c r="A38" s="108" t="s">
        <v>282</v>
      </c>
      <c r="B38" s="122">
        <f>SUMIF($P$35:$P$45,$A$38,Q35:Q45)/Q46</f>
        <v>7.0355953335921081E-2</v>
      </c>
      <c r="C38" s="122">
        <f>SUMIF($P$35:$P$45,$A$38,R35:R45)/R46</f>
        <v>7.5119034515668315E-2</v>
      </c>
      <c r="D38" s="122">
        <f>SUMIF($P$35:$P$45,$A$38,S35:S45)/S46</f>
        <v>8.5649683028877627E-2</v>
      </c>
      <c r="E38" s="122">
        <f>SUMIF($P$35:$P$45,$A$38,T35:T45)/T46</f>
        <v>7.9303058110581595E-2</v>
      </c>
      <c r="G38" s="108" t="s">
        <v>286</v>
      </c>
      <c r="I38" s="119">
        <f t="shared" si="24"/>
        <v>1444.1749405213384</v>
      </c>
      <c r="K38" s="108" t="s">
        <v>180</v>
      </c>
      <c r="L38" s="121">
        <v>1.3640000000000001</v>
      </c>
      <c r="M38" s="121"/>
      <c r="N38" s="132" t="s">
        <v>275</v>
      </c>
      <c r="P38" s="108" t="s">
        <v>176</v>
      </c>
      <c r="Q38" s="133">
        <v>2459132.3106495137</v>
      </c>
      <c r="R38" s="133">
        <v>3237235.3545292816</v>
      </c>
      <c r="S38" s="133">
        <v>5844318.5844269404</v>
      </c>
      <c r="T38" s="133">
        <v>3307676.1416158914</v>
      </c>
      <c r="V38" s="108" t="s">
        <v>179</v>
      </c>
    </row>
    <row r="39" spans="1:22" ht="15.75">
      <c r="A39" s="108" t="s">
        <v>176</v>
      </c>
      <c r="B39" s="122">
        <f>SUMIF($P$35:$P$45,$A$39,Q35:Q45)/Q46</f>
        <v>0.36551930966533375</v>
      </c>
      <c r="C39" s="122">
        <f>SUMIF($P$35:$P$45,$A$39,R35:R45)/R46</f>
        <v>0.35084848014523812</v>
      </c>
      <c r="D39" s="122">
        <f>SUMIF($P$35:$P$45,$A$39,S35:S45)/S46</f>
        <v>0.40500446961456404</v>
      </c>
      <c r="E39" s="122">
        <f>SUMIF($P$35:$P$45,$A$39,T35:T45)/T46</f>
        <v>0.32322169282309809</v>
      </c>
      <c r="G39" s="108" t="s">
        <v>287</v>
      </c>
      <c r="I39" s="119">
        <f t="shared" si="24"/>
        <v>1248.5486502218182</v>
      </c>
      <c r="K39" s="108" t="s">
        <v>181</v>
      </c>
      <c r="L39" s="121">
        <v>5.0049999999999999</v>
      </c>
      <c r="M39" s="121"/>
      <c r="N39" s="136" t="s">
        <v>276</v>
      </c>
      <c r="P39" s="108" t="s">
        <v>371</v>
      </c>
      <c r="Q39" s="131">
        <v>1116280.7321315408</v>
      </c>
      <c r="R39" s="131">
        <v>2198688.6423166259</v>
      </c>
      <c r="S39" s="131">
        <v>1458747.96337837</v>
      </c>
      <c r="T39" s="131">
        <v>1444174.9405213385</v>
      </c>
    </row>
    <row r="40" spans="1:22" ht="15">
      <c r="G40" s="108" t="s">
        <v>288</v>
      </c>
      <c r="I40" s="119">
        <f t="shared" si="24"/>
        <v>192.95875613379187</v>
      </c>
      <c r="K40" s="108" t="s">
        <v>182</v>
      </c>
      <c r="L40" s="121">
        <v>7.2050000000000001</v>
      </c>
      <c r="M40" s="121"/>
      <c r="N40" s="132" t="s">
        <v>277</v>
      </c>
      <c r="P40" s="108" t="s">
        <v>282</v>
      </c>
      <c r="Q40" s="133">
        <v>732665.99807794916</v>
      </c>
      <c r="R40" s="133">
        <v>1065124.7909119111</v>
      </c>
      <c r="S40" s="133">
        <v>1627832.3621257646</v>
      </c>
      <c r="T40" s="133">
        <v>1248548.6502218181</v>
      </c>
    </row>
    <row r="41" spans="1:22" ht="15">
      <c r="G41" s="108" t="s">
        <v>289</v>
      </c>
      <c r="I41" s="119">
        <f t="shared" si="24"/>
        <v>789.34529187628834</v>
      </c>
      <c r="K41" s="108" t="s">
        <v>183</v>
      </c>
      <c r="L41" s="121">
        <v>3.5859999999999999</v>
      </c>
      <c r="M41" s="121"/>
      <c r="N41" s="136" t="s">
        <v>271</v>
      </c>
      <c r="P41" s="108" t="s">
        <v>371</v>
      </c>
      <c r="Q41" s="131">
        <v>107631.21400000001</v>
      </c>
      <c r="R41" s="131">
        <v>112694.70681057809</v>
      </c>
      <c r="S41" s="131">
        <v>201733.53756083292</v>
      </c>
      <c r="T41" s="131">
        <v>192958.75613379187</v>
      </c>
    </row>
    <row r="42" spans="1:22" ht="15">
      <c r="G42" s="108" t="s">
        <v>290</v>
      </c>
      <c r="I42" s="119">
        <f t="shared" si="24"/>
        <v>133.46331810881995</v>
      </c>
      <c r="K42" s="108" t="s">
        <v>184</v>
      </c>
      <c r="L42" s="121">
        <v>4.1580000000000004</v>
      </c>
      <c r="M42" s="121"/>
      <c r="N42" s="136" t="s">
        <v>272</v>
      </c>
      <c r="P42" s="108" t="s">
        <v>371</v>
      </c>
      <c r="Q42" s="131">
        <v>689245.2118119942</v>
      </c>
      <c r="R42" s="131">
        <v>705342.951446775</v>
      </c>
      <c r="S42" s="131">
        <v>744714.51642885385</v>
      </c>
      <c r="T42" s="131">
        <v>789345.29187628836</v>
      </c>
    </row>
    <row r="43" spans="1:22" ht="15">
      <c r="G43" s="108" t="s">
        <v>291</v>
      </c>
      <c r="I43" s="119">
        <f t="shared" si="24"/>
        <v>6432.0286188120772</v>
      </c>
      <c r="K43" s="108" t="s">
        <v>185</v>
      </c>
      <c r="L43" s="121">
        <v>4.7630000000000008</v>
      </c>
      <c r="M43" s="121"/>
      <c r="N43" s="136" t="s">
        <v>278</v>
      </c>
      <c r="P43" s="108" t="s">
        <v>282</v>
      </c>
      <c r="Q43" s="131">
        <v>247257.95157783615</v>
      </c>
      <c r="R43" s="131">
        <v>199990.04084950502</v>
      </c>
      <c r="S43" s="131">
        <v>128028.44789955097</v>
      </c>
      <c r="T43" s="131">
        <v>133463.31810881995</v>
      </c>
    </row>
    <row r="44" spans="1:22" ht="15">
      <c r="G44" s="108" t="s">
        <v>292</v>
      </c>
      <c r="I44" s="119">
        <f t="shared" si="24"/>
        <v>311.30543703545402</v>
      </c>
      <c r="K44" s="108" t="s">
        <v>186</v>
      </c>
      <c r="L44" s="121">
        <v>3.9050000000000002</v>
      </c>
      <c r="M44" s="121"/>
      <c r="N44" s="132" t="s">
        <v>279</v>
      </c>
      <c r="P44" s="108" t="s">
        <v>325</v>
      </c>
      <c r="Q44" s="133">
        <v>4722940.6864062455</v>
      </c>
      <c r="R44" s="133">
        <v>5164739.9449575264</v>
      </c>
      <c r="S44" s="133">
        <v>6291955.617112617</v>
      </c>
      <c r="T44" s="133">
        <v>6432028.6188120767</v>
      </c>
    </row>
    <row r="45" spans="1:22" ht="15">
      <c r="K45" s="108" t="s">
        <v>187</v>
      </c>
      <c r="L45" s="121">
        <v>6.16</v>
      </c>
      <c r="M45" s="121"/>
      <c r="N45" s="136" t="s">
        <v>280</v>
      </c>
      <c r="P45" s="108" t="s">
        <v>371</v>
      </c>
      <c r="Q45" s="131">
        <v>197292.76501866977</v>
      </c>
      <c r="R45" s="131">
        <v>319324.18694025907</v>
      </c>
      <c r="S45" s="131">
        <v>306057.84664720285</v>
      </c>
      <c r="T45" s="131">
        <v>311305.43703545403</v>
      </c>
    </row>
    <row r="46" spans="1:22" ht="15">
      <c r="K46" s="108" t="s">
        <v>188</v>
      </c>
      <c r="L46" s="121">
        <v>1.3640000000000001</v>
      </c>
      <c r="M46" s="121"/>
      <c r="N46" s="129"/>
      <c r="P46" s="135"/>
      <c r="Q46" s="134">
        <f>SUM(Q35:Q45)</f>
        <v>13928088.572363546</v>
      </c>
      <c r="R46" s="134">
        <f>SUM(R35:R45)</f>
        <v>16841468.209998608</v>
      </c>
      <c r="S46" s="134">
        <f>SUM(S35:S45)</f>
        <v>20500493.964855772</v>
      </c>
      <c r="T46" s="134">
        <f>SUM(T35:T45)</f>
        <v>17426969.416532915</v>
      </c>
    </row>
    <row r="47" spans="1:22">
      <c r="K47" s="108" t="s">
        <v>189</v>
      </c>
      <c r="L47" s="121">
        <v>5.0049999999999999</v>
      </c>
      <c r="M47" s="121"/>
    </row>
    <row r="48" spans="1:22">
      <c r="K48" s="108" t="s">
        <v>190</v>
      </c>
      <c r="L48" s="121">
        <v>7.2050000000000001</v>
      </c>
      <c r="M48" s="121"/>
      <c r="N48" s="121"/>
    </row>
    <row r="49" spans="11:28" ht="13.5" thickBot="1">
      <c r="K49" s="108" t="s">
        <v>191</v>
      </c>
      <c r="L49" s="121">
        <v>4.8840000000000012</v>
      </c>
      <c r="M49" s="121"/>
      <c r="N49" s="121"/>
      <c r="O49" s="108" t="s">
        <v>144</v>
      </c>
      <c r="P49" s="108" t="s">
        <v>144</v>
      </c>
      <c r="R49" s="108" t="s">
        <v>324</v>
      </c>
      <c r="S49" s="108" t="s">
        <v>324</v>
      </c>
      <c r="U49" s="108" t="s">
        <v>323</v>
      </c>
      <c r="V49" s="108" t="s">
        <v>323</v>
      </c>
      <c r="X49" s="108" t="s">
        <v>141</v>
      </c>
      <c r="Y49" s="108" t="s">
        <v>141</v>
      </c>
      <c r="AB49" s="117" t="s">
        <v>368</v>
      </c>
    </row>
    <row r="50" spans="11:28" ht="16.5" thickBot="1">
      <c r="K50" s="108" t="s">
        <v>192</v>
      </c>
      <c r="L50" s="121">
        <v>6.9520000000000008</v>
      </c>
      <c r="M50" s="121"/>
      <c r="N50" s="121"/>
      <c r="O50" s="146" t="s">
        <v>297</v>
      </c>
      <c r="P50" s="147">
        <v>257637.79872408041</v>
      </c>
      <c r="R50" s="146" t="s">
        <v>297</v>
      </c>
      <c r="S50" s="148">
        <v>272078.75409177871</v>
      </c>
      <c r="U50" s="146" t="s">
        <v>297</v>
      </c>
      <c r="V50" s="148">
        <v>224633.88564774077</v>
      </c>
      <c r="X50" s="146" t="s">
        <v>297</v>
      </c>
      <c r="Y50" s="148">
        <v>18573.929426818191</v>
      </c>
      <c r="AA50" s="170" t="s">
        <v>366</v>
      </c>
      <c r="AB50" s="171" t="s">
        <v>367</v>
      </c>
    </row>
    <row r="51" spans="11:28" ht="16.5" thickBot="1">
      <c r="K51" s="108" t="s">
        <v>193</v>
      </c>
      <c r="L51" s="121">
        <v>3.9160000000000004</v>
      </c>
      <c r="M51" s="121"/>
      <c r="N51" s="121"/>
      <c r="O51" s="144" t="s">
        <v>293</v>
      </c>
      <c r="P51" s="145">
        <v>1967865.66096577</v>
      </c>
      <c r="R51" s="146" t="s">
        <v>297</v>
      </c>
      <c r="S51" s="148">
        <v>194592.84695092891</v>
      </c>
      <c r="U51" s="146" t="s">
        <v>297</v>
      </c>
      <c r="V51" s="148">
        <v>13883.637712689413</v>
      </c>
      <c r="X51" s="146" t="s">
        <v>297</v>
      </c>
      <c r="Y51" s="148">
        <v>271740.93114774383</v>
      </c>
      <c r="AA51" s="172">
        <v>44561</v>
      </c>
      <c r="AB51" s="173">
        <v>2202972</v>
      </c>
    </row>
    <row r="52" spans="11:28" ht="16.5" thickBot="1">
      <c r="K52" s="108" t="s">
        <v>194</v>
      </c>
      <c r="L52" s="121">
        <v>2.0790000000000002</v>
      </c>
      <c r="M52" s="121"/>
      <c r="N52" s="121"/>
      <c r="O52" s="137" t="s">
        <v>333</v>
      </c>
      <c r="P52" s="143">
        <v>10911.053717818806</v>
      </c>
      <c r="R52" s="141" t="s">
        <v>314</v>
      </c>
      <c r="S52" s="139">
        <v>13199.676532569742</v>
      </c>
      <c r="U52" s="144" t="s">
        <v>293</v>
      </c>
      <c r="V52" s="149">
        <v>3045826.7891793177</v>
      </c>
      <c r="X52" s="108" t="s">
        <v>340</v>
      </c>
      <c r="Y52" s="127">
        <v>3566.6431883913015</v>
      </c>
      <c r="AA52" s="172">
        <v>44651</v>
      </c>
      <c r="AB52" s="173">
        <v>1825667</v>
      </c>
    </row>
    <row r="53" spans="11:28" ht="16.5" thickBot="1">
      <c r="K53" s="108" t="s">
        <v>195</v>
      </c>
      <c r="L53" s="121">
        <v>2.2000000000000002</v>
      </c>
      <c r="M53" s="121"/>
      <c r="N53" s="121"/>
      <c r="O53" s="137" t="s">
        <v>322</v>
      </c>
      <c r="P53" s="143">
        <v>2549.4700420124332</v>
      </c>
      <c r="R53" s="137" t="s">
        <v>319</v>
      </c>
      <c r="S53" s="139">
        <v>1641.1947032650551</v>
      </c>
      <c r="U53" s="108" t="s">
        <v>304</v>
      </c>
      <c r="V53" s="127">
        <v>63418.695132179862</v>
      </c>
      <c r="X53" s="108" t="s">
        <v>319</v>
      </c>
      <c r="Y53" s="127">
        <v>3073.5743178355979</v>
      </c>
      <c r="AA53" s="172">
        <v>44742</v>
      </c>
      <c r="AB53" s="173">
        <v>1542384</v>
      </c>
    </row>
    <row r="54" spans="11:28" ht="16.5" thickBot="1">
      <c r="K54" s="108" t="s">
        <v>196</v>
      </c>
      <c r="L54" s="121">
        <v>5.7310000000000008</v>
      </c>
      <c r="M54" s="121"/>
      <c r="N54" s="121"/>
      <c r="O54" s="137" t="s">
        <v>300</v>
      </c>
      <c r="P54" s="143">
        <v>782812.51055361866</v>
      </c>
      <c r="R54" s="144" t="s">
        <v>293</v>
      </c>
      <c r="S54" s="149">
        <v>2396711.5173982708</v>
      </c>
      <c r="U54" s="108" t="s">
        <v>322</v>
      </c>
      <c r="V54" s="127">
        <v>9413.1127372050705</v>
      </c>
      <c r="X54" s="144" t="s">
        <v>293</v>
      </c>
      <c r="Y54" s="149">
        <v>3494588.2595235598</v>
      </c>
      <c r="AA54" s="172">
        <v>44834</v>
      </c>
      <c r="AB54" s="173">
        <v>2077549</v>
      </c>
    </row>
    <row r="55" spans="11:28" ht="15.75">
      <c r="N55" s="121"/>
      <c r="O55" s="137" t="s">
        <v>306</v>
      </c>
      <c r="P55" s="143">
        <v>67900.075017724594</v>
      </c>
      <c r="R55" s="137" t="s">
        <v>320</v>
      </c>
      <c r="S55" s="139">
        <v>53267.081639578115</v>
      </c>
      <c r="U55" s="108" t="s">
        <v>300</v>
      </c>
      <c r="V55" s="127">
        <v>131365</v>
      </c>
      <c r="X55" s="108" t="s">
        <v>337</v>
      </c>
      <c r="Y55" s="127">
        <v>6899.85</v>
      </c>
    </row>
    <row r="56" spans="11:28" ht="15.75">
      <c r="N56" s="121"/>
      <c r="O56" s="137" t="s">
        <v>306</v>
      </c>
      <c r="P56" s="143">
        <v>6740.1305358074869</v>
      </c>
      <c r="R56" s="137" t="s">
        <v>322</v>
      </c>
      <c r="S56" s="139">
        <v>5421.9901024216433</v>
      </c>
      <c r="U56" s="108" t="s">
        <v>306</v>
      </c>
      <c r="V56" s="127">
        <v>25665.959979308336</v>
      </c>
      <c r="X56" s="108" t="s">
        <v>304</v>
      </c>
      <c r="Y56" s="127">
        <v>33639.51293168027</v>
      </c>
    </row>
    <row r="57" spans="11:28" ht="15.75">
      <c r="O57" s="137" t="s">
        <v>306</v>
      </c>
      <c r="P57" s="143">
        <v>127199.74347175889</v>
      </c>
      <c r="R57" s="137" t="s">
        <v>300</v>
      </c>
      <c r="S57" s="139">
        <v>476908.15399978979</v>
      </c>
      <c r="U57" s="108" t="s">
        <v>298</v>
      </c>
      <c r="V57" s="127">
        <v>30760.746049552148</v>
      </c>
      <c r="X57" s="108" t="s">
        <v>322</v>
      </c>
      <c r="Y57" s="127">
        <v>8690.1595936082776</v>
      </c>
    </row>
    <row r="58" spans="11:28" ht="15.75">
      <c r="O58" s="137" t="s">
        <v>298</v>
      </c>
      <c r="P58" s="143">
        <v>7158.0186290275515</v>
      </c>
      <c r="R58" s="137" t="s">
        <v>315</v>
      </c>
      <c r="S58" s="139">
        <v>20559.861055695197</v>
      </c>
      <c r="U58" s="108" t="s">
        <v>298</v>
      </c>
      <c r="V58" s="127">
        <v>208346.14555099513</v>
      </c>
      <c r="X58" s="108" t="s">
        <v>342</v>
      </c>
      <c r="Y58" s="127">
        <v>20093.871505552786</v>
      </c>
    </row>
    <row r="59" spans="11:28" ht="15.75">
      <c r="O59" s="137" t="s">
        <v>332</v>
      </c>
      <c r="P59" s="143">
        <v>8794.1268760191451</v>
      </c>
      <c r="R59" s="140" t="s">
        <v>306</v>
      </c>
      <c r="S59" s="139">
        <v>48886.556208210131</v>
      </c>
      <c r="U59" s="108" t="s">
        <v>298</v>
      </c>
      <c r="V59" s="127">
        <v>76289.770684345771</v>
      </c>
      <c r="X59" s="108" t="s">
        <v>346</v>
      </c>
      <c r="Y59" s="127">
        <v>293028.03983983444</v>
      </c>
    </row>
    <row r="60" spans="11:28" ht="15.75">
      <c r="O60" s="137" t="s">
        <v>331</v>
      </c>
      <c r="P60" s="143">
        <v>86521.827501304826</v>
      </c>
      <c r="R60" s="137" t="s">
        <v>306</v>
      </c>
      <c r="S60" s="139">
        <v>19414.101379630025</v>
      </c>
      <c r="U60" s="108" t="s">
        <v>311</v>
      </c>
      <c r="V60" s="127">
        <v>3163.9582872944975</v>
      </c>
      <c r="X60" s="108" t="s">
        <v>345</v>
      </c>
      <c r="Y60" s="127">
        <v>84633.986272626091</v>
      </c>
    </row>
    <row r="61" spans="11:28" ht="15.75">
      <c r="O61" s="137" t="s">
        <v>302</v>
      </c>
      <c r="P61" s="143">
        <v>51921.044286459895</v>
      </c>
      <c r="R61" s="140" t="s">
        <v>313</v>
      </c>
      <c r="S61" s="139">
        <v>60669.06681134383</v>
      </c>
      <c r="U61" s="108" t="s">
        <v>303</v>
      </c>
      <c r="V61" s="127">
        <v>100860.08849189339</v>
      </c>
      <c r="X61" s="108" t="s">
        <v>306</v>
      </c>
      <c r="Y61" s="127">
        <v>158569.93393370995</v>
      </c>
    </row>
    <row r="62" spans="11:28" ht="15.75">
      <c r="O62" s="137" t="s">
        <v>302</v>
      </c>
      <c r="P62" s="143">
        <v>7411.7290718921504</v>
      </c>
      <c r="R62" s="141" t="s">
        <v>298</v>
      </c>
      <c r="S62" s="139">
        <v>47506.306075954672</v>
      </c>
      <c r="U62" s="108" t="s">
        <v>302</v>
      </c>
      <c r="V62" s="127">
        <v>110768.89045859406</v>
      </c>
      <c r="X62" s="108" t="s">
        <v>306</v>
      </c>
      <c r="Y62" s="127">
        <v>44650.816763762894</v>
      </c>
    </row>
    <row r="63" spans="11:28" ht="15.75">
      <c r="O63" s="137" t="s">
        <v>329</v>
      </c>
      <c r="P63" s="143">
        <v>7846.5678177912514</v>
      </c>
      <c r="R63" s="137" t="s">
        <v>303</v>
      </c>
      <c r="S63" s="139">
        <v>68125.850823913628</v>
      </c>
      <c r="U63" s="108" t="s">
        <v>308</v>
      </c>
      <c r="V63" s="127">
        <v>19714.05822592193</v>
      </c>
      <c r="X63" s="108" t="s">
        <v>338</v>
      </c>
      <c r="Y63" s="127">
        <v>35464.324116028693</v>
      </c>
    </row>
    <row r="64" spans="11:28" ht="15.75">
      <c r="O64" s="137" t="s">
        <v>316</v>
      </c>
      <c r="P64" s="143">
        <v>173920.15668163274</v>
      </c>
      <c r="R64" s="141" t="s">
        <v>303</v>
      </c>
      <c r="S64" s="139">
        <v>19572.556941710387</v>
      </c>
      <c r="U64" s="108" t="s">
        <v>301</v>
      </c>
      <c r="V64" s="127">
        <v>144809.05866442551</v>
      </c>
      <c r="X64" s="108" t="s">
        <v>338</v>
      </c>
      <c r="Y64" s="127">
        <v>8414.9605333246927</v>
      </c>
    </row>
    <row r="65" spans="15:25" ht="15.75">
      <c r="O65" s="137" t="s">
        <v>296</v>
      </c>
      <c r="P65" s="143">
        <v>163271.16837153101</v>
      </c>
      <c r="R65" s="137" t="s">
        <v>302</v>
      </c>
      <c r="S65" s="139">
        <v>99781.572060462408</v>
      </c>
      <c r="U65" s="108" t="s">
        <v>296</v>
      </c>
      <c r="V65" s="127">
        <v>247776.75068521965</v>
      </c>
      <c r="X65" s="108" t="s">
        <v>311</v>
      </c>
      <c r="Y65" s="127">
        <v>9972.0157439070463</v>
      </c>
    </row>
    <row r="66" spans="15:25" ht="15.75">
      <c r="O66" s="137" t="s">
        <v>330</v>
      </c>
      <c r="P66" s="143">
        <v>21140.456875326203</v>
      </c>
      <c r="R66" s="141" t="s">
        <v>316</v>
      </c>
      <c r="S66" s="139">
        <v>213531.79877352618</v>
      </c>
      <c r="U66" s="108" t="s">
        <v>299</v>
      </c>
      <c r="V66" s="127">
        <v>197494.75750330844</v>
      </c>
      <c r="X66" s="108" t="s">
        <v>303</v>
      </c>
      <c r="Y66" s="127">
        <v>125767.7073664202</v>
      </c>
    </row>
    <row r="67" spans="15:25" ht="15.75">
      <c r="O67" s="144" t="s">
        <v>294</v>
      </c>
      <c r="P67" s="145">
        <v>894642.86920413573</v>
      </c>
      <c r="R67" s="137" t="s">
        <v>296</v>
      </c>
      <c r="S67" s="139">
        <v>94600.843459471696</v>
      </c>
      <c r="U67" s="108" t="s">
        <v>299</v>
      </c>
      <c r="V67" s="127">
        <v>27068.08420689209</v>
      </c>
      <c r="X67" s="108" t="s">
        <v>302</v>
      </c>
      <c r="Y67" s="127">
        <v>125005.60694670459</v>
      </c>
    </row>
    <row r="68" spans="15:25" ht="15.75">
      <c r="O68" s="137" t="s">
        <v>334</v>
      </c>
      <c r="P68" s="143">
        <v>771.44999999999993</v>
      </c>
      <c r="R68" s="144" t="s">
        <v>294</v>
      </c>
      <c r="S68" s="149">
        <v>927933.58943999978</v>
      </c>
      <c r="U68" s="108" t="s">
        <v>295</v>
      </c>
      <c r="V68" s="127">
        <v>400788.10015671555</v>
      </c>
      <c r="X68" s="108" t="s">
        <v>302</v>
      </c>
      <c r="Y68" s="127">
        <v>95753.288024190013</v>
      </c>
    </row>
    <row r="69" spans="15:25" ht="15.75">
      <c r="O69" s="137" t="s">
        <v>327</v>
      </c>
      <c r="P69" s="143">
        <v>20890.2</v>
      </c>
      <c r="R69" s="141" t="s">
        <v>321</v>
      </c>
      <c r="S69" s="139">
        <v>5676.9193834250264</v>
      </c>
      <c r="U69" s="144" t="s">
        <v>294</v>
      </c>
      <c r="V69" s="149">
        <v>1153497.8787984001</v>
      </c>
      <c r="X69" s="108" t="s">
        <v>316</v>
      </c>
      <c r="Y69" s="127">
        <v>9079.736433293654</v>
      </c>
    </row>
    <row r="70" spans="15:25" ht="15.75">
      <c r="O70" s="137" t="s">
        <v>328</v>
      </c>
      <c r="P70" s="143">
        <v>4531.6753400780335</v>
      </c>
      <c r="R70" s="137" t="s">
        <v>317</v>
      </c>
      <c r="S70" s="139">
        <v>37998.589932972885</v>
      </c>
      <c r="U70" s="108" t="s">
        <v>310</v>
      </c>
      <c r="V70" s="127">
        <v>4188.592574162758</v>
      </c>
      <c r="X70" s="108" t="s">
        <v>347</v>
      </c>
      <c r="Y70" s="127">
        <v>3623.9948570079073</v>
      </c>
    </row>
    <row r="71" spans="15:25" ht="15.75">
      <c r="O71" s="137" t="s">
        <v>310</v>
      </c>
      <c r="P71" s="143">
        <v>1248.75</v>
      </c>
      <c r="R71" s="137" t="s">
        <v>307</v>
      </c>
      <c r="S71" s="139">
        <v>38909.137119667786</v>
      </c>
      <c r="U71" s="108" t="s">
        <v>307</v>
      </c>
      <c r="V71" s="127">
        <v>8122.4269472727328</v>
      </c>
      <c r="X71" s="108" t="s">
        <v>296</v>
      </c>
      <c r="Y71" s="127">
        <v>75042.367618069737</v>
      </c>
    </row>
    <row r="72" spans="15:25" ht="15.75">
      <c r="O72" s="137" t="s">
        <v>307</v>
      </c>
      <c r="P72" s="143">
        <v>21192.943181298946</v>
      </c>
      <c r="R72" s="137" t="s">
        <v>305</v>
      </c>
      <c r="S72" s="139">
        <v>45420.228035514359</v>
      </c>
      <c r="U72" s="108" t="s">
        <v>305</v>
      </c>
      <c r="V72" s="127">
        <v>32724.598272604631</v>
      </c>
      <c r="X72" s="108" t="s">
        <v>341</v>
      </c>
      <c r="Y72" s="127">
        <v>31501.135347234158</v>
      </c>
    </row>
    <row r="73" spans="15:25" ht="15.75">
      <c r="O73" s="137" t="s">
        <v>305</v>
      </c>
      <c r="P73" s="143">
        <v>22693.613523569926</v>
      </c>
      <c r="R73" s="141" t="s">
        <v>318</v>
      </c>
      <c r="S73" s="139">
        <v>2331.7520374257615</v>
      </c>
      <c r="U73" s="108" t="s">
        <v>312</v>
      </c>
      <c r="V73" s="127">
        <v>572.99856894870948</v>
      </c>
      <c r="X73" s="108" t="s">
        <v>341</v>
      </c>
      <c r="Y73" s="127">
        <v>118378.88919072882</v>
      </c>
    </row>
    <row r="74" spans="15:25" ht="15.75">
      <c r="O74" s="137" t="s">
        <v>312</v>
      </c>
      <c r="P74" s="143">
        <v>3604.7000000000003</v>
      </c>
      <c r="U74" s="108" t="s">
        <v>309</v>
      </c>
      <c r="V74" s="127">
        <v>10801.632597628863</v>
      </c>
      <c r="X74" s="144" t="s">
        <v>294</v>
      </c>
      <c r="Y74" s="149">
        <v>1292845.8107877334</v>
      </c>
    </row>
    <row r="75" spans="15:25" ht="15.75">
      <c r="O75" s="138" t="s">
        <v>326</v>
      </c>
      <c r="P75" s="143">
        <v>1762.9460175864667</v>
      </c>
      <c r="X75" s="108" t="s">
        <v>335</v>
      </c>
      <c r="Y75" s="127">
        <v>4407.2202485037888</v>
      </c>
    </row>
    <row r="76" spans="15:25">
      <c r="X76" s="108" t="s">
        <v>343</v>
      </c>
      <c r="Y76" s="127">
        <v>1186.22</v>
      </c>
    </row>
    <row r="77" spans="15:25">
      <c r="X77" s="108" t="s">
        <v>339</v>
      </c>
      <c r="Y77" s="127">
        <v>4786.8963172093518</v>
      </c>
    </row>
    <row r="78" spans="15:25">
      <c r="X78" s="108" t="s">
        <v>336</v>
      </c>
      <c r="Y78" s="127">
        <v>28177.920000991286</v>
      </c>
    </row>
    <row r="79" spans="15:25">
      <c r="X79" s="108" t="s">
        <v>309</v>
      </c>
      <c r="Y79" s="127">
        <v>14141.07240208268</v>
      </c>
    </row>
    <row r="80" spans="15:25">
      <c r="X80" s="108" t="s">
        <v>344</v>
      </c>
      <c r="Y80" s="127">
        <v>6729.9444335260559</v>
      </c>
    </row>
  </sheetData>
  <autoFilter ref="U49:V74" xr:uid="{32B90DAF-2EDC-4216-90B9-3E355F14C68A}">
    <sortState xmlns:xlrd2="http://schemas.microsoft.com/office/spreadsheetml/2017/richdata2" ref="U50:V74">
      <sortCondition ref="U49:U74"/>
    </sortState>
  </autoFilter>
  <mergeCells count="4">
    <mergeCell ref="AG6:AJ6"/>
    <mergeCell ref="AK6:AL6"/>
    <mergeCell ref="I6:L6"/>
    <mergeCell ref="M6:N6"/>
  </mergeCells>
  <pageMargins left="0.7" right="0.7" top="0.75" bottom="0.75" header="0.3" footer="0.3"/>
  <pageSetup paperSize="9" orientation="portrait" r:id="rId1"/>
  <ignoredErrors>
    <ignoredError sqref="I12:L21" formula="1"/>
  </ignoredErrors>
  <drawing r:id="rId2"/>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A70B70-BD26-4C90-8907-028B1010C8F9}">
  <dimension ref="B1:P54"/>
  <sheetViews>
    <sheetView zoomScale="70" zoomScaleNormal="70" workbookViewId="0">
      <selection activeCell="K1" sqref="K1"/>
    </sheetView>
  </sheetViews>
  <sheetFormatPr baseColWidth="10" defaultColWidth="8.5" defaultRowHeight="15.75"/>
  <cols>
    <col min="1" max="1" width="1.5" style="264" customWidth="1"/>
    <col min="2" max="2" width="11.625" style="714" bestFit="1" customWidth="1"/>
    <col min="3" max="3" width="9.125" style="264" bestFit="1" customWidth="1"/>
    <col min="4" max="4" width="13.125" style="264" bestFit="1" customWidth="1"/>
    <col min="5" max="5" width="9.5" style="264" bestFit="1" customWidth="1"/>
    <col min="6" max="6" width="16.625" style="264" bestFit="1" customWidth="1"/>
    <col min="7" max="7" width="24.875" style="264" customWidth="1"/>
    <col min="8" max="8" width="23.625" style="715" bestFit="1" customWidth="1"/>
    <col min="9" max="9" width="21.625" style="715" customWidth="1"/>
    <col min="10" max="10" width="15" style="264" customWidth="1"/>
    <col min="11" max="11" width="32.125" style="264" bestFit="1" customWidth="1"/>
    <col min="12" max="12" width="19.25" style="264" bestFit="1" customWidth="1"/>
    <col min="13" max="13" width="12.5" style="264" bestFit="1" customWidth="1"/>
    <col min="14" max="14" width="9.125" style="264" bestFit="1" customWidth="1"/>
    <col min="15" max="15" width="11.125" style="264" bestFit="1" customWidth="1"/>
    <col min="16" max="16" width="14.125" style="264" bestFit="1" customWidth="1"/>
    <col min="17" max="16384" width="8.5" style="264"/>
  </cols>
  <sheetData>
    <row r="1" spans="2:16" ht="16.5" thickBot="1"/>
    <row r="2" spans="2:16" ht="32.25" thickBot="1">
      <c r="B2" s="716" t="s">
        <v>260</v>
      </c>
      <c r="C2" s="717" t="s">
        <v>259</v>
      </c>
      <c r="D2" s="718" t="s">
        <v>258</v>
      </c>
      <c r="E2" s="718" t="s">
        <v>257</v>
      </c>
      <c r="F2" s="718" t="s">
        <v>1973</v>
      </c>
      <c r="G2" s="718" t="s">
        <v>255</v>
      </c>
      <c r="H2" s="719" t="s">
        <v>253</v>
      </c>
      <c r="I2" s="719" t="s">
        <v>1974</v>
      </c>
      <c r="J2" s="718" t="s">
        <v>254</v>
      </c>
      <c r="K2" s="718" t="s">
        <v>252</v>
      </c>
      <c r="L2" s="720" t="s">
        <v>251</v>
      </c>
    </row>
    <row r="3" spans="2:16" s="722" customFormat="1" ht="16.5" thickBot="1">
      <c r="B3" s="721" t="s">
        <v>240</v>
      </c>
      <c r="C3" s="1298">
        <v>1</v>
      </c>
      <c r="D3" s="734" t="s">
        <v>230</v>
      </c>
      <c r="E3" s="734" t="s">
        <v>224</v>
      </c>
      <c r="F3" s="735">
        <v>42439</v>
      </c>
      <c r="G3" s="735" t="s">
        <v>225</v>
      </c>
      <c r="H3" s="739">
        <v>1000000</v>
      </c>
      <c r="I3" s="739">
        <v>83333.332999999999</v>
      </c>
      <c r="J3" s="736" t="s">
        <v>217</v>
      </c>
      <c r="K3" s="734" t="s">
        <v>249</v>
      </c>
      <c r="L3" s="737">
        <v>45016</v>
      </c>
      <c r="M3" s="264"/>
      <c r="P3" s="723"/>
    </row>
    <row r="4" spans="2:16" s="722" customFormat="1" ht="16.5" thickBot="1">
      <c r="B4" s="721" t="s">
        <v>240</v>
      </c>
      <c r="C4" s="1298"/>
      <c r="D4" s="734" t="s">
        <v>230</v>
      </c>
      <c r="E4" s="734" t="s">
        <v>224</v>
      </c>
      <c r="F4" s="735">
        <v>42506</v>
      </c>
      <c r="G4" s="735" t="s">
        <v>225</v>
      </c>
      <c r="H4" s="739">
        <v>1150000</v>
      </c>
      <c r="I4" s="739">
        <v>95833.333333333299</v>
      </c>
      <c r="J4" s="736" t="s">
        <v>217</v>
      </c>
      <c r="K4" s="734" t="s">
        <v>249</v>
      </c>
      <c r="L4" s="737">
        <v>45017</v>
      </c>
      <c r="M4" s="264"/>
      <c r="P4" s="723"/>
    </row>
    <row r="5" spans="2:16" s="722" customFormat="1" ht="16.5" thickBot="1">
      <c r="B5" s="721" t="s">
        <v>240</v>
      </c>
      <c r="C5" s="1298"/>
      <c r="D5" s="734" t="s">
        <v>230</v>
      </c>
      <c r="E5" s="734" t="s">
        <v>224</v>
      </c>
      <c r="F5" s="735">
        <v>42729</v>
      </c>
      <c r="G5" s="735" t="s">
        <v>225</v>
      </c>
      <c r="H5" s="739">
        <v>500000</v>
      </c>
      <c r="I5" s="739">
        <v>41666.667000000001</v>
      </c>
      <c r="J5" s="736" t="s">
        <v>217</v>
      </c>
      <c r="K5" s="734" t="s">
        <v>249</v>
      </c>
      <c r="L5" s="737">
        <v>45018</v>
      </c>
      <c r="M5" s="264"/>
      <c r="P5" s="723"/>
    </row>
    <row r="6" spans="2:16" s="722" customFormat="1" ht="16.5" thickBot="1">
      <c r="B6" s="721" t="s">
        <v>240</v>
      </c>
      <c r="C6" s="1298"/>
      <c r="D6" s="734" t="s">
        <v>230</v>
      </c>
      <c r="E6" s="734" t="s">
        <v>224</v>
      </c>
      <c r="F6" s="735">
        <v>42796</v>
      </c>
      <c r="G6" s="735" t="s">
        <v>225</v>
      </c>
      <c r="H6" s="739">
        <v>350000</v>
      </c>
      <c r="I6" s="739">
        <v>29166.667000000001</v>
      </c>
      <c r="J6" s="736" t="s">
        <v>217</v>
      </c>
      <c r="K6" s="734" t="s">
        <v>249</v>
      </c>
      <c r="L6" s="737">
        <v>45019</v>
      </c>
      <c r="M6" s="264"/>
      <c r="P6" s="723"/>
    </row>
    <row r="7" spans="2:16" s="722" customFormat="1" ht="16.5" thickBot="1">
      <c r="B7" s="721" t="s">
        <v>240</v>
      </c>
      <c r="C7" s="1298"/>
      <c r="D7" s="734" t="s">
        <v>230</v>
      </c>
      <c r="E7" s="734" t="s">
        <v>224</v>
      </c>
      <c r="F7" s="735">
        <v>42863</v>
      </c>
      <c r="G7" s="735" t="s">
        <v>225</v>
      </c>
      <c r="H7" s="739">
        <v>500000</v>
      </c>
      <c r="I7" s="739">
        <v>41666.667000000001</v>
      </c>
      <c r="J7" s="736" t="s">
        <v>217</v>
      </c>
      <c r="K7" s="734" t="s">
        <v>249</v>
      </c>
      <c r="L7" s="737">
        <v>45020</v>
      </c>
      <c r="M7" s="264"/>
      <c r="P7" s="723"/>
    </row>
    <row r="8" spans="2:16" s="722" customFormat="1" ht="16.5" thickBot="1">
      <c r="B8" s="721" t="s">
        <v>240</v>
      </c>
      <c r="C8" s="740">
        <v>2</v>
      </c>
      <c r="D8" s="734" t="s">
        <v>230</v>
      </c>
      <c r="E8" s="734" t="s">
        <v>224</v>
      </c>
      <c r="F8" s="735">
        <v>43203</v>
      </c>
      <c r="G8" s="735" t="s">
        <v>225</v>
      </c>
      <c r="H8" s="739">
        <v>2500000</v>
      </c>
      <c r="I8" s="739">
        <v>1041667</v>
      </c>
      <c r="J8" s="736" t="s">
        <v>217</v>
      </c>
      <c r="K8" s="734" t="s">
        <v>1975</v>
      </c>
      <c r="L8" s="737">
        <v>45777</v>
      </c>
      <c r="M8" s="264"/>
      <c r="P8" s="723"/>
    </row>
    <row r="9" spans="2:16" s="722" customFormat="1" ht="16.5" thickBot="1">
      <c r="B9" s="721" t="s">
        <v>240</v>
      </c>
      <c r="C9" s="740">
        <v>3</v>
      </c>
      <c r="D9" s="734" t="s">
        <v>230</v>
      </c>
      <c r="E9" s="734" t="s">
        <v>224</v>
      </c>
      <c r="F9" s="735">
        <v>43291</v>
      </c>
      <c r="G9" s="735" t="s">
        <v>225</v>
      </c>
      <c r="H9" s="739">
        <v>1250000</v>
      </c>
      <c r="I9" s="739">
        <v>625000</v>
      </c>
      <c r="J9" s="736" t="s">
        <v>217</v>
      </c>
      <c r="K9" s="734" t="s">
        <v>1975</v>
      </c>
      <c r="L9" s="737">
        <v>45869</v>
      </c>
      <c r="M9" s="264"/>
      <c r="P9" s="723"/>
    </row>
    <row r="10" spans="2:16" s="722" customFormat="1" ht="32.25" thickBot="1">
      <c r="B10" s="721" t="s">
        <v>240</v>
      </c>
      <c r="C10" s="724">
        <v>4</v>
      </c>
      <c r="D10" s="734" t="s">
        <v>230</v>
      </c>
      <c r="E10" s="734" t="s">
        <v>224</v>
      </c>
      <c r="F10" s="735">
        <v>44819</v>
      </c>
      <c r="G10" s="735" t="s">
        <v>231</v>
      </c>
      <c r="H10" s="739">
        <v>10000000</v>
      </c>
      <c r="I10" s="739">
        <v>10000000</v>
      </c>
      <c r="J10" s="736" t="s">
        <v>217</v>
      </c>
      <c r="K10" s="734" t="s">
        <v>221</v>
      </c>
      <c r="L10" s="737" t="s">
        <v>1976</v>
      </c>
      <c r="M10" s="264"/>
      <c r="P10" s="723"/>
    </row>
    <row r="11" spans="2:16" s="722" customFormat="1" ht="16.5" thickBot="1">
      <c r="B11" s="721" t="s">
        <v>240</v>
      </c>
      <c r="C11" s="724">
        <v>5</v>
      </c>
      <c r="D11" s="734" t="s">
        <v>230</v>
      </c>
      <c r="E11" s="734" t="s">
        <v>224</v>
      </c>
      <c r="F11" s="735">
        <v>44834</v>
      </c>
      <c r="G11" s="735" t="s">
        <v>222</v>
      </c>
      <c r="H11" s="739">
        <v>3000000</v>
      </c>
      <c r="I11" s="741">
        <v>852026.82700000005</v>
      </c>
      <c r="J11" s="736" t="s">
        <v>217</v>
      </c>
      <c r="K11" s="734" t="s">
        <v>221</v>
      </c>
      <c r="L11" s="737"/>
      <c r="M11" s="264"/>
      <c r="P11" s="723"/>
    </row>
    <row r="12" spans="2:16" s="722" customFormat="1" ht="32.25" thickBot="1">
      <c r="B12" s="721" t="s">
        <v>236</v>
      </c>
      <c r="C12" s="724">
        <v>6</v>
      </c>
      <c r="D12" s="734" t="s">
        <v>230</v>
      </c>
      <c r="E12" s="734" t="s">
        <v>235</v>
      </c>
      <c r="F12" s="735">
        <v>44722</v>
      </c>
      <c r="G12" s="735" t="s">
        <v>234</v>
      </c>
      <c r="H12" s="733">
        <v>0</v>
      </c>
      <c r="I12" s="733">
        <f>46755.453+34586.395+50818.585+42023.123+46931.582</f>
        <v>221115.13799999998</v>
      </c>
      <c r="J12" s="736" t="s">
        <v>217</v>
      </c>
      <c r="K12" s="734" t="s">
        <v>1977</v>
      </c>
      <c r="L12" s="737">
        <v>45787</v>
      </c>
      <c r="M12" s="264"/>
      <c r="P12" s="723"/>
    </row>
    <row r="13" spans="2:16" s="722" customFormat="1" ht="16.5" thickBot="1">
      <c r="B13" s="721" t="s">
        <v>240</v>
      </c>
      <c r="C13" s="724">
        <v>7</v>
      </c>
      <c r="D13" s="734" t="s">
        <v>244</v>
      </c>
      <c r="E13" s="734" t="s">
        <v>224</v>
      </c>
      <c r="F13" s="735"/>
      <c r="G13" s="735" t="s">
        <v>222</v>
      </c>
      <c r="H13" s="739">
        <v>0</v>
      </c>
      <c r="I13" s="741">
        <v>0</v>
      </c>
      <c r="J13" s="736" t="s">
        <v>217</v>
      </c>
      <c r="K13" s="734" t="s">
        <v>221</v>
      </c>
      <c r="L13" s="737"/>
      <c r="M13" s="264"/>
      <c r="P13" s="723"/>
    </row>
    <row r="14" spans="2:16" s="722" customFormat="1" ht="16.5" thickBot="1">
      <c r="B14" s="721" t="s">
        <v>240</v>
      </c>
      <c r="C14" s="724">
        <v>8</v>
      </c>
      <c r="D14" s="734" t="s">
        <v>243</v>
      </c>
      <c r="E14" s="734" t="s">
        <v>224</v>
      </c>
      <c r="F14" s="735"/>
      <c r="G14" s="735" t="s">
        <v>222</v>
      </c>
      <c r="H14" s="739">
        <v>0</v>
      </c>
      <c r="I14" s="741">
        <v>0</v>
      </c>
      <c r="J14" s="736" t="s">
        <v>217</v>
      </c>
      <c r="K14" s="734" t="s">
        <v>221</v>
      </c>
      <c r="L14" s="737"/>
      <c r="M14" s="264"/>
      <c r="P14" s="723"/>
    </row>
    <row r="15" spans="2:16" s="722" customFormat="1" ht="32.25" thickBot="1">
      <c r="B15" s="721" t="s">
        <v>240</v>
      </c>
      <c r="C15" s="724">
        <v>9</v>
      </c>
      <c r="D15" s="734" t="s">
        <v>170</v>
      </c>
      <c r="E15" s="734" t="s">
        <v>224</v>
      </c>
      <c r="F15" s="735">
        <v>44387</v>
      </c>
      <c r="G15" s="735" t="s">
        <v>1978</v>
      </c>
      <c r="H15" s="733">
        <v>2000000</v>
      </c>
      <c r="I15" s="733">
        <v>3667781.76</v>
      </c>
      <c r="J15" s="736" t="s">
        <v>217</v>
      </c>
      <c r="K15" s="734" t="s">
        <v>221</v>
      </c>
      <c r="L15" s="737"/>
      <c r="M15" s="264"/>
      <c r="P15" s="723"/>
    </row>
    <row r="16" spans="2:16" s="722" customFormat="1" ht="16.5" thickBot="1">
      <c r="B16" s="721" t="s">
        <v>240</v>
      </c>
      <c r="C16" s="724">
        <v>10</v>
      </c>
      <c r="D16" s="734" t="s">
        <v>170</v>
      </c>
      <c r="E16" s="734" t="s">
        <v>224</v>
      </c>
      <c r="F16" s="735">
        <v>44387</v>
      </c>
      <c r="G16" s="735" t="s">
        <v>222</v>
      </c>
      <c r="H16" s="733">
        <v>500000</v>
      </c>
      <c r="I16" s="738">
        <v>197766.95199999999</v>
      </c>
      <c r="J16" s="736" t="s">
        <v>217</v>
      </c>
      <c r="K16" s="734" t="s">
        <v>221</v>
      </c>
      <c r="L16" s="737"/>
      <c r="M16" s="264"/>
      <c r="P16" s="723"/>
    </row>
    <row r="17" spans="2:16" s="722" customFormat="1" ht="16.5" thickBot="1">
      <c r="B17" s="721" t="s">
        <v>240</v>
      </c>
      <c r="C17" s="724">
        <v>11</v>
      </c>
      <c r="D17" s="734" t="s">
        <v>230</v>
      </c>
      <c r="E17" s="734" t="s">
        <v>224</v>
      </c>
      <c r="F17" s="735" t="s">
        <v>223</v>
      </c>
      <c r="G17" s="735" t="s">
        <v>225</v>
      </c>
      <c r="H17" s="733">
        <v>1890000</v>
      </c>
      <c r="I17" s="733">
        <v>0</v>
      </c>
      <c r="J17" s="736" t="s">
        <v>217</v>
      </c>
      <c r="K17" s="734" t="s">
        <v>221</v>
      </c>
      <c r="L17" s="737">
        <v>44865</v>
      </c>
      <c r="M17" s="264"/>
      <c r="P17" s="723"/>
    </row>
    <row r="18" spans="2:16" s="722" customFormat="1" ht="16.5" thickBot="1">
      <c r="B18" s="721"/>
      <c r="C18" s="724"/>
      <c r="D18" s="734" t="s">
        <v>230</v>
      </c>
      <c r="E18" s="734" t="s">
        <v>224</v>
      </c>
      <c r="F18" s="735" t="s">
        <v>223</v>
      </c>
      <c r="G18" s="735" t="s">
        <v>231</v>
      </c>
      <c r="H18" s="733">
        <v>0</v>
      </c>
      <c r="I18" s="733">
        <v>0</v>
      </c>
      <c r="J18" s="736" t="s">
        <v>217</v>
      </c>
      <c r="K18" s="734" t="s">
        <v>221</v>
      </c>
      <c r="L18" s="737">
        <v>44865</v>
      </c>
      <c r="M18" s="264"/>
      <c r="P18" s="723"/>
    </row>
    <row r="19" spans="2:16" s="722" customFormat="1" ht="16.5" thickBot="1">
      <c r="B19" s="721"/>
      <c r="C19" s="724"/>
      <c r="D19" s="734" t="s">
        <v>230</v>
      </c>
      <c r="E19" s="734" t="s">
        <v>224</v>
      </c>
      <c r="F19" s="735" t="s">
        <v>223</v>
      </c>
      <c r="G19" s="735" t="s">
        <v>228</v>
      </c>
      <c r="H19" s="733">
        <v>0</v>
      </c>
      <c r="I19" s="733">
        <v>0</v>
      </c>
      <c r="J19" s="736" t="s">
        <v>217</v>
      </c>
      <c r="K19" s="734" t="s">
        <v>221</v>
      </c>
      <c r="L19" s="737">
        <v>44865</v>
      </c>
      <c r="M19" s="264"/>
      <c r="P19" s="723"/>
    </row>
    <row r="20" spans="2:16" s="722" customFormat="1" ht="16.5" thickBot="1">
      <c r="B20" s="721" t="s">
        <v>240</v>
      </c>
      <c r="C20" s="724">
        <v>12</v>
      </c>
      <c r="D20" s="734" t="s">
        <v>170</v>
      </c>
      <c r="E20" s="734" t="s">
        <v>224</v>
      </c>
      <c r="F20" s="735" t="s">
        <v>226</v>
      </c>
      <c r="G20" s="735" t="s">
        <v>225</v>
      </c>
      <c r="H20" s="733">
        <v>0</v>
      </c>
      <c r="I20" s="733">
        <v>0</v>
      </c>
      <c r="J20" s="736" t="s">
        <v>217</v>
      </c>
      <c r="K20" s="734" t="s">
        <v>221</v>
      </c>
      <c r="L20" s="737">
        <v>44865</v>
      </c>
      <c r="M20" s="264"/>
      <c r="P20" s="723"/>
    </row>
    <row r="21" spans="2:16" s="722" customFormat="1" ht="16.5" thickBot="1">
      <c r="B21" s="721"/>
      <c r="C21" s="724"/>
      <c r="D21" s="734" t="s">
        <v>170</v>
      </c>
      <c r="E21" s="734" t="s">
        <v>224</v>
      </c>
      <c r="F21" s="735" t="s">
        <v>223</v>
      </c>
      <c r="G21" s="735" t="s">
        <v>222</v>
      </c>
      <c r="H21" s="733">
        <v>0</v>
      </c>
      <c r="I21" s="733">
        <v>0</v>
      </c>
      <c r="J21" s="736" t="s">
        <v>217</v>
      </c>
      <c r="K21" s="734" t="s">
        <v>221</v>
      </c>
      <c r="L21" s="737">
        <v>44865</v>
      </c>
      <c r="M21" s="264"/>
      <c r="P21" s="723"/>
    </row>
    <row r="22" spans="2:16" ht="48" thickBot="1">
      <c r="B22" s="721" t="s">
        <v>240</v>
      </c>
      <c r="C22" s="724">
        <v>13</v>
      </c>
      <c r="D22" s="734" t="s">
        <v>171</v>
      </c>
      <c r="E22" s="734" t="s">
        <v>224</v>
      </c>
      <c r="F22" s="735"/>
      <c r="G22" s="735" t="s">
        <v>1979</v>
      </c>
      <c r="H22" s="733">
        <v>7300000</v>
      </c>
      <c r="I22" s="733">
        <v>3000000</v>
      </c>
      <c r="J22" s="736" t="s">
        <v>217</v>
      </c>
      <c r="K22" s="734" t="s">
        <v>1980</v>
      </c>
      <c r="L22" s="737"/>
    </row>
    <row r="23" spans="2:16" s="722" customFormat="1">
      <c r="B23" s="721" t="s">
        <v>240</v>
      </c>
      <c r="C23" s="724">
        <v>14</v>
      </c>
      <c r="D23" s="734" t="s">
        <v>171</v>
      </c>
      <c r="E23" s="734" t="s">
        <v>224</v>
      </c>
      <c r="F23" s="735"/>
      <c r="G23" s="735" t="s">
        <v>222</v>
      </c>
      <c r="H23" s="733">
        <v>0</v>
      </c>
      <c r="I23" s="738">
        <v>161018.182</v>
      </c>
      <c r="J23" s="736" t="s">
        <v>217</v>
      </c>
      <c r="K23" s="734" t="s">
        <v>221</v>
      </c>
      <c r="L23" s="737"/>
      <c r="M23" s="264"/>
      <c r="P23" s="723"/>
    </row>
    <row r="24" spans="2:16">
      <c r="B24" s="264"/>
      <c r="H24" s="264"/>
      <c r="I24" s="264"/>
    </row>
    <row r="25" spans="2:16">
      <c r="H25" s="265" t="s">
        <v>1981</v>
      </c>
      <c r="I25" s="266">
        <f>SUM(I3:I24)</f>
        <v>20058042.526333332</v>
      </c>
    </row>
    <row r="26" spans="2:16">
      <c r="H26" s="265"/>
      <c r="I26" s="266"/>
    </row>
    <row r="27" spans="2:16">
      <c r="G27" s="264" t="s">
        <v>213</v>
      </c>
      <c r="H27" s="265"/>
      <c r="I27" s="266">
        <v>21818.723999999998</v>
      </c>
    </row>
    <row r="28" spans="2:16">
      <c r="G28" s="264" t="s">
        <v>212</v>
      </c>
      <c r="H28" s="265"/>
      <c r="I28" s="266">
        <v>0</v>
      </c>
    </row>
    <row r="29" spans="2:16">
      <c r="G29" s="264" t="s">
        <v>211</v>
      </c>
      <c r="H29" s="265"/>
      <c r="I29" s="266">
        <v>341558.32199999999</v>
      </c>
    </row>
    <row r="30" spans="2:16">
      <c r="G30" s="267" t="s">
        <v>210</v>
      </c>
      <c r="H30" s="268"/>
      <c r="I30" s="269">
        <v>228333.74</v>
      </c>
      <c r="J30" s="725">
        <f>+I30*3.282</f>
        <v>749391.33467999997</v>
      </c>
    </row>
    <row r="31" spans="2:16">
      <c r="G31" s="267" t="s">
        <v>209</v>
      </c>
      <c r="H31" s="268"/>
      <c r="I31" s="269">
        <v>207755.5</v>
      </c>
      <c r="J31" s="725">
        <f>+I31*3.282</f>
        <v>681853.55099999998</v>
      </c>
    </row>
    <row r="32" spans="2:16" customFormat="1">
      <c r="B32" s="714"/>
      <c r="C32" s="264"/>
      <c r="D32" s="264"/>
      <c r="E32" s="264"/>
      <c r="F32" s="264"/>
      <c r="G32" s="264" t="s">
        <v>171</v>
      </c>
      <c r="H32" s="265"/>
      <c r="I32" s="266">
        <v>123204.90399999999</v>
      </c>
      <c r="J32" s="725"/>
      <c r="K32" s="264"/>
      <c r="L32" s="264"/>
      <c r="M32" s="264"/>
      <c r="N32" s="264"/>
      <c r="O32" s="264"/>
      <c r="P32" s="264"/>
    </row>
    <row r="33" spans="2:16" customFormat="1">
      <c r="B33" s="714"/>
      <c r="C33" s="264"/>
      <c r="D33" s="264"/>
      <c r="E33" s="264"/>
      <c r="F33" s="264"/>
      <c r="G33" s="264" t="s">
        <v>243</v>
      </c>
      <c r="H33" s="265"/>
      <c r="I33" s="266">
        <v>62562.360999999997</v>
      </c>
      <c r="J33" s="725"/>
      <c r="K33" s="264"/>
      <c r="L33" s="264"/>
      <c r="M33" s="264"/>
      <c r="N33" s="264"/>
      <c r="O33" s="264"/>
      <c r="P33" s="264"/>
    </row>
    <row r="34" spans="2:16" customFormat="1">
      <c r="B34" s="714"/>
      <c r="C34" s="264"/>
      <c r="D34" s="264"/>
      <c r="E34" s="264"/>
      <c r="F34" s="264"/>
      <c r="G34" s="264" t="s">
        <v>244</v>
      </c>
      <c r="H34" s="265"/>
      <c r="I34" s="266">
        <v>17392.66</v>
      </c>
      <c r="J34" s="725"/>
      <c r="K34" s="264"/>
      <c r="L34" s="264"/>
      <c r="M34" s="264"/>
      <c r="N34" s="264"/>
      <c r="O34" s="264"/>
      <c r="P34" s="264"/>
    </row>
    <row r="35" spans="2:16" customFormat="1">
      <c r="B35" s="714"/>
      <c r="C35" s="264"/>
      <c r="D35" s="264"/>
      <c r="E35" s="264"/>
      <c r="F35" s="264"/>
      <c r="G35" s="267" t="s">
        <v>208</v>
      </c>
      <c r="H35" s="268"/>
      <c r="I35" s="269">
        <v>5.69</v>
      </c>
      <c r="J35" s="725">
        <f>+I35*3.282</f>
        <v>18.674580000000002</v>
      </c>
      <c r="K35" s="264"/>
      <c r="L35" s="264"/>
      <c r="M35" s="264"/>
      <c r="N35" s="264"/>
      <c r="O35" s="264"/>
      <c r="P35" s="264"/>
    </row>
    <row r="36" spans="2:16" customFormat="1">
      <c r="B36" s="714"/>
      <c r="C36" s="264"/>
      <c r="D36" s="264"/>
      <c r="E36" s="264"/>
      <c r="F36" s="264"/>
      <c r="G36" s="264" t="s">
        <v>207</v>
      </c>
      <c r="H36" s="265"/>
      <c r="I36" s="266">
        <f>10583.554+12890.292+19490.763+13477.627+31181.722+18798.954</f>
        <v>106422.912</v>
      </c>
      <c r="J36" s="264"/>
      <c r="K36" s="264"/>
      <c r="L36" s="264"/>
      <c r="M36" s="264"/>
      <c r="N36" s="264"/>
      <c r="O36" s="264"/>
      <c r="P36" s="264"/>
    </row>
    <row r="37" spans="2:16" customFormat="1">
      <c r="B37" s="714"/>
      <c r="C37" s="264"/>
      <c r="D37" s="264"/>
      <c r="E37" s="264"/>
      <c r="F37" s="264"/>
      <c r="G37" s="264" t="s">
        <v>206</v>
      </c>
      <c r="H37" s="265"/>
      <c r="I37" s="266">
        <v>165111.03400000001</v>
      </c>
      <c r="J37" s="264"/>
      <c r="K37" s="264"/>
      <c r="L37" s="264"/>
      <c r="M37" s="264"/>
      <c r="N37" s="264"/>
      <c r="O37" s="264"/>
      <c r="P37" s="264"/>
    </row>
    <row r="38" spans="2:16" customFormat="1">
      <c r="B38" s="714"/>
      <c r="C38" s="264"/>
      <c r="D38" s="264"/>
      <c r="E38" s="264"/>
      <c r="F38" s="264"/>
      <c r="G38" s="267" t="s">
        <v>205</v>
      </c>
      <c r="H38" s="268"/>
      <c r="I38" s="269">
        <v>0</v>
      </c>
      <c r="J38" s="264"/>
      <c r="K38" s="264"/>
      <c r="L38" s="264"/>
      <c r="M38" s="264"/>
      <c r="N38" s="264"/>
      <c r="O38" s="264"/>
      <c r="P38" s="264"/>
    </row>
    <row r="39" spans="2:16" customFormat="1">
      <c r="B39" s="714"/>
      <c r="C39" s="264"/>
      <c r="D39" s="264"/>
      <c r="E39" s="264"/>
      <c r="F39" s="264"/>
      <c r="G39" s="264"/>
      <c r="H39" s="265"/>
      <c r="I39" s="266">
        <f>I37+I36+J35+I34+I33+I32+J31+J30+I29+I28+I27</f>
        <v>2269334.4772600001</v>
      </c>
      <c r="J39" s="264"/>
      <c r="K39" s="264"/>
      <c r="L39" s="264"/>
      <c r="M39" s="264"/>
      <c r="N39" s="264"/>
      <c r="O39" s="264"/>
      <c r="P39" s="264"/>
    </row>
    <row r="41" spans="2:16" customFormat="1">
      <c r="B41" s="714"/>
      <c r="C41" s="264"/>
      <c r="D41" s="264"/>
      <c r="E41" s="264"/>
      <c r="F41" s="264"/>
      <c r="G41" s="726" t="s">
        <v>1982</v>
      </c>
      <c r="H41" s="727">
        <v>7250000</v>
      </c>
      <c r="I41" s="727">
        <f>SUM(I3:I9)</f>
        <v>1958333.6673333333</v>
      </c>
      <c r="J41" s="264" t="s">
        <v>1983</v>
      </c>
      <c r="K41" s="264"/>
      <c r="L41" s="264"/>
      <c r="M41" s="264"/>
      <c r="N41" s="264"/>
      <c r="O41" s="264"/>
      <c r="P41" s="264"/>
    </row>
    <row r="42" spans="2:16" customFormat="1">
      <c r="B42" s="714"/>
      <c r="C42" s="264"/>
      <c r="D42" s="264"/>
      <c r="E42" s="264"/>
      <c r="F42" s="264"/>
      <c r="G42" s="728" t="s">
        <v>1984</v>
      </c>
      <c r="H42" s="727">
        <v>10000000</v>
      </c>
      <c r="I42" s="727">
        <f>+I10</f>
        <v>10000000</v>
      </c>
      <c r="J42" s="264" t="s">
        <v>1985</v>
      </c>
      <c r="K42" s="264"/>
      <c r="L42" s="264"/>
      <c r="M42" s="264"/>
      <c r="N42" s="264"/>
      <c r="O42" s="264"/>
      <c r="P42" s="264"/>
    </row>
    <row r="43" spans="2:16" customFormat="1">
      <c r="B43" s="714"/>
      <c r="C43" s="264"/>
      <c r="D43" s="264"/>
      <c r="E43" s="264"/>
      <c r="F43" s="264"/>
      <c r="G43" s="728" t="s">
        <v>1986</v>
      </c>
      <c r="H43" s="729">
        <v>3500000</v>
      </c>
      <c r="I43" s="730">
        <f>I11+I13+I14+I16+I23</f>
        <v>1210811.9610000001</v>
      </c>
      <c r="J43" s="264" t="s">
        <v>1987</v>
      </c>
      <c r="K43" s="264"/>
      <c r="L43" s="264"/>
      <c r="M43" s="264"/>
      <c r="N43" s="264"/>
      <c r="O43" s="264"/>
      <c r="P43" s="264"/>
    </row>
    <row r="44" spans="2:16" customFormat="1">
      <c r="B44" s="714"/>
      <c r="C44" s="264"/>
      <c r="D44" s="264"/>
      <c r="E44" s="264"/>
      <c r="F44" s="264"/>
      <c r="G44" s="728" t="s">
        <v>1988</v>
      </c>
      <c r="H44" s="727">
        <v>2000000</v>
      </c>
      <c r="I44" s="727">
        <f>I15</f>
        <v>3667781.76</v>
      </c>
      <c r="J44" s="264"/>
      <c r="K44" s="264"/>
      <c r="L44" s="264"/>
      <c r="M44" s="264"/>
      <c r="N44" s="264"/>
      <c r="O44" s="264"/>
      <c r="P44" s="264"/>
    </row>
    <row r="45" spans="2:16" customFormat="1">
      <c r="B45" s="714"/>
      <c r="C45" s="264"/>
      <c r="D45" s="264"/>
      <c r="E45" s="264"/>
      <c r="F45" s="264"/>
      <c r="G45" s="728" t="s">
        <v>1989</v>
      </c>
      <c r="H45" s="727">
        <v>7300000</v>
      </c>
      <c r="I45" s="727">
        <f>+I22</f>
        <v>3000000</v>
      </c>
      <c r="J45" s="264"/>
      <c r="K45" s="264"/>
      <c r="L45" s="264"/>
      <c r="M45" s="264"/>
      <c r="N45" s="264"/>
      <c r="O45" s="264"/>
      <c r="P45" s="264"/>
    </row>
    <row r="46" spans="2:16" customFormat="1">
      <c r="B46" s="714"/>
      <c r="C46" s="264"/>
      <c r="D46" s="264"/>
      <c r="E46" s="264"/>
      <c r="F46" s="264"/>
      <c r="G46" s="728" t="s">
        <v>1990</v>
      </c>
      <c r="H46" s="727">
        <f>H17</f>
        <v>1890000</v>
      </c>
      <c r="I46" s="727">
        <v>0</v>
      </c>
      <c r="J46" s="264"/>
      <c r="K46" s="264"/>
      <c r="L46" s="264"/>
      <c r="M46" s="264"/>
      <c r="N46" s="264"/>
      <c r="O46" s="264"/>
      <c r="P46" s="264"/>
    </row>
    <row r="47" spans="2:16" customFormat="1">
      <c r="B47" s="714"/>
      <c r="C47" s="264"/>
      <c r="D47" s="264"/>
      <c r="E47" s="264"/>
      <c r="F47" s="264"/>
      <c r="G47" s="728" t="s">
        <v>1991</v>
      </c>
      <c r="H47" s="731">
        <v>0</v>
      </c>
      <c r="I47" s="731">
        <f>+I12</f>
        <v>221115.13799999998</v>
      </c>
      <c r="J47" s="264"/>
      <c r="K47" s="264"/>
      <c r="L47" s="264"/>
      <c r="M47" s="264"/>
      <c r="N47" s="264"/>
      <c r="O47" s="264"/>
      <c r="P47" s="264"/>
    </row>
    <row r="48" spans="2:16" customFormat="1">
      <c r="B48" s="714"/>
      <c r="C48" s="264"/>
      <c r="D48" s="264"/>
      <c r="E48" s="264"/>
      <c r="F48" s="264"/>
      <c r="G48" s="264"/>
      <c r="H48" s="715"/>
      <c r="I48" s="727"/>
      <c r="J48" s="264"/>
      <c r="K48" s="264"/>
      <c r="L48" s="264"/>
      <c r="M48" s="264"/>
      <c r="N48" s="264"/>
      <c r="O48" s="264"/>
      <c r="P48" s="264"/>
    </row>
    <row r="49" spans="2:16" customFormat="1">
      <c r="B49" s="714"/>
      <c r="C49" s="264"/>
      <c r="D49" s="264"/>
      <c r="E49" s="264"/>
      <c r="F49" s="264"/>
      <c r="G49" s="264" t="s">
        <v>1992</v>
      </c>
      <c r="H49" s="264"/>
      <c r="I49" s="731">
        <f>+H45-I45+H43-I43+H46</f>
        <v>8479188.0390000008</v>
      </c>
      <c r="J49" s="264"/>
      <c r="K49" s="264"/>
      <c r="L49" s="264"/>
      <c r="M49" s="264"/>
      <c r="N49" s="264"/>
      <c r="O49" s="264"/>
      <c r="P49" s="264"/>
    </row>
    <row r="50" spans="2:16" customFormat="1">
      <c r="B50" s="714"/>
      <c r="C50" s="264"/>
      <c r="D50" s="264"/>
      <c r="E50" s="264"/>
      <c r="F50" s="264"/>
      <c r="G50" s="264"/>
      <c r="H50" s="264"/>
      <c r="I50" s="264"/>
      <c r="J50" s="264"/>
      <c r="K50" s="264"/>
      <c r="L50" s="264"/>
      <c r="M50" s="264"/>
      <c r="N50" s="264"/>
      <c r="O50" s="264"/>
      <c r="P50" s="264"/>
    </row>
    <row r="51" spans="2:16" customFormat="1">
      <c r="B51" s="714"/>
      <c r="C51" s="264"/>
      <c r="D51" s="264"/>
      <c r="E51" s="264"/>
      <c r="F51" s="264"/>
      <c r="G51" s="264"/>
      <c r="H51" s="727" t="s">
        <v>1993</v>
      </c>
      <c r="I51" s="727">
        <f>I49+I25</f>
        <v>28537230.565333333</v>
      </c>
      <c r="J51" s="732" t="s">
        <v>217</v>
      </c>
      <c r="K51" s="264"/>
      <c r="L51" s="264"/>
      <c r="M51" s="264"/>
      <c r="N51" s="264"/>
      <c r="O51" s="264"/>
      <c r="P51" s="264"/>
    </row>
    <row r="52" spans="2:16" customFormat="1">
      <c r="B52" s="714"/>
      <c r="C52" s="264"/>
      <c r="D52" s="264"/>
      <c r="E52" s="264"/>
      <c r="F52" s="264"/>
      <c r="G52" s="264"/>
      <c r="H52" s="715"/>
      <c r="I52" s="727">
        <f>+I51/3.282</f>
        <v>8695073.2983952872</v>
      </c>
      <c r="J52" s="732" t="s">
        <v>216</v>
      </c>
      <c r="K52" s="264"/>
      <c r="L52" s="264"/>
      <c r="M52" s="264"/>
      <c r="N52" s="264"/>
      <c r="O52" s="264"/>
      <c r="P52" s="264"/>
    </row>
    <row r="54" spans="2:16" customFormat="1">
      <c r="B54" s="714"/>
      <c r="C54" s="264"/>
      <c r="D54" s="264"/>
      <c r="E54" s="264"/>
      <c r="F54" s="264"/>
      <c r="G54" s="264"/>
      <c r="H54" s="727" t="s">
        <v>1994</v>
      </c>
      <c r="I54" s="727">
        <f>I52/3</f>
        <v>2898357.7661317624</v>
      </c>
      <c r="J54" s="264" t="s">
        <v>1995</v>
      </c>
      <c r="K54" s="264"/>
      <c r="L54" s="264"/>
      <c r="M54" s="264"/>
      <c r="N54" s="264"/>
      <c r="O54" s="264"/>
      <c r="P54" s="264"/>
    </row>
  </sheetData>
  <mergeCells count="1">
    <mergeCell ref="C3:C7"/>
  </mergeCells>
  <pageMargins left="0.7" right="0.7" top="0.75" bottom="0.75" header="0.3" footer="0.3"/>
  <legacyDrawing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75AAF0-FACC-425A-AAA1-3152B1DEFDDE}">
  <sheetPr codeName="Sheet16"/>
  <dimension ref="A1:L17"/>
  <sheetViews>
    <sheetView topLeftCell="A5" workbookViewId="0">
      <selection activeCell="K1" sqref="K1"/>
    </sheetView>
  </sheetViews>
  <sheetFormatPr baseColWidth="10" defaultColWidth="8.875" defaultRowHeight="15.75"/>
  <cols>
    <col min="1" max="1" width="4.125" bestFit="1" customWidth="1"/>
    <col min="2" max="2" width="47.375" bestFit="1" customWidth="1"/>
    <col min="3" max="3" width="47.875" bestFit="1" customWidth="1"/>
    <col min="4" max="4" width="58.5" bestFit="1" customWidth="1"/>
  </cols>
  <sheetData>
    <row r="1" spans="1:12">
      <c r="A1" s="11" t="s">
        <v>32</v>
      </c>
      <c r="B1" t="s">
        <v>68</v>
      </c>
      <c r="C1" t="s">
        <v>2</v>
      </c>
      <c r="D1" s="12" t="s">
        <v>36</v>
      </c>
    </row>
    <row r="2" spans="1:12" ht="31.5">
      <c r="A2" s="13"/>
      <c r="B2" s="4"/>
      <c r="C2" s="4"/>
      <c r="D2" s="25" t="s">
        <v>73</v>
      </c>
    </row>
    <row r="5" spans="1:12">
      <c r="I5" s="11" t="s">
        <v>1</v>
      </c>
      <c r="J5" t="s">
        <v>69</v>
      </c>
      <c r="K5" t="s">
        <v>33</v>
      </c>
      <c r="L5" s="12" t="s">
        <v>34</v>
      </c>
    </row>
    <row r="6" spans="1:12">
      <c r="I6" s="13"/>
      <c r="J6" s="4"/>
      <c r="K6" s="4"/>
      <c r="L6" s="14" t="s">
        <v>35</v>
      </c>
    </row>
    <row r="14" spans="1:12">
      <c r="E14" t="s">
        <v>511</v>
      </c>
    </row>
    <row r="15" spans="1:12">
      <c r="E15" t="s">
        <v>512</v>
      </c>
    </row>
    <row r="17" spans="5:5">
      <c r="E17" t="s">
        <v>513</v>
      </c>
    </row>
  </sheetData>
  <pageMargins left="0.7" right="0.7" top="0.75" bottom="0.75" header="0.3" footer="0.3"/>
  <drawing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AB7123-D6A9-4FE5-B593-3748100C9E9F}">
  <sheetPr codeName="Sheet17"/>
  <dimension ref="A1:N9"/>
  <sheetViews>
    <sheetView topLeftCell="A6" workbookViewId="0">
      <selection activeCell="K1" sqref="K1"/>
    </sheetView>
  </sheetViews>
  <sheetFormatPr baseColWidth="10" defaultColWidth="8.875" defaultRowHeight="15.75"/>
  <cols>
    <col min="1" max="1" width="4.625" bestFit="1" customWidth="1"/>
    <col min="2" max="2" width="26.875" bestFit="1" customWidth="1"/>
    <col min="3" max="3" width="10.375" bestFit="1" customWidth="1"/>
  </cols>
  <sheetData>
    <row r="1" spans="1:14">
      <c r="A1" s="15" t="s">
        <v>42</v>
      </c>
      <c r="B1" s="5" t="s">
        <v>67</v>
      </c>
      <c r="C1" s="5" t="s">
        <v>43</v>
      </c>
      <c r="D1" s="16"/>
    </row>
    <row r="9" spans="1:14">
      <c r="N9" t="s">
        <v>514</v>
      </c>
    </row>
  </sheetData>
  <pageMargins left="0.7" right="0.7" top="0.75" bottom="0.75" header="0.3" footer="0.3"/>
  <drawing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33D03F-0B3E-4CE6-996A-90461A3851BB}">
  <sheetPr codeName="Sheet18"/>
  <dimension ref="A1:T62"/>
  <sheetViews>
    <sheetView topLeftCell="A23" workbookViewId="0">
      <selection activeCell="K1" sqref="K1"/>
    </sheetView>
  </sheetViews>
  <sheetFormatPr baseColWidth="10" defaultColWidth="8.875" defaultRowHeight="15"/>
  <cols>
    <col min="1" max="1" width="4.125" style="355" bestFit="1" customWidth="1"/>
    <col min="2" max="7" width="15.875" style="355" customWidth="1"/>
    <col min="8" max="8" width="8.875" style="355"/>
    <col min="9" max="9" width="23.625" style="355" bestFit="1" customWidth="1"/>
    <col min="10" max="11" width="10.375" style="355" customWidth="1"/>
    <col min="12" max="12" width="23.625" style="355" bestFit="1" customWidth="1"/>
    <col min="13" max="13" width="10.375" style="355" customWidth="1"/>
    <col min="14" max="16384" width="8.875" style="355"/>
  </cols>
  <sheetData>
    <row r="1" spans="1:4">
      <c r="A1" s="354" t="s">
        <v>38</v>
      </c>
      <c r="B1" s="355" t="s">
        <v>566</v>
      </c>
      <c r="C1" s="355" t="s">
        <v>39</v>
      </c>
      <c r="D1" s="356" t="s">
        <v>510</v>
      </c>
    </row>
    <row r="2" spans="1:4">
      <c r="A2" s="357"/>
      <c r="B2" s="358"/>
      <c r="C2" s="358"/>
      <c r="D2" s="359" t="s">
        <v>41</v>
      </c>
    </row>
    <row r="25" spans="2:20">
      <c r="D25" s="355">
        <v>2000</v>
      </c>
    </row>
    <row r="26" spans="2:20">
      <c r="D26" s="355">
        <v>1000</v>
      </c>
    </row>
    <row r="27" spans="2:20">
      <c r="D27" s="360" t="s">
        <v>509</v>
      </c>
    </row>
    <row r="29" spans="2:20" ht="15.75" thickBot="1"/>
    <row r="30" spans="2:20" ht="15.75" thickBot="1">
      <c r="B30" s="361"/>
      <c r="C30" s="362" t="s">
        <v>75</v>
      </c>
      <c r="D30" s="362"/>
      <c r="E30" s="362"/>
      <c r="F30" s="362"/>
      <c r="G30" s="363" t="s">
        <v>145</v>
      </c>
      <c r="J30" s="355" t="s">
        <v>75</v>
      </c>
      <c r="M30" s="355" t="s">
        <v>75</v>
      </c>
    </row>
    <row r="31" spans="2:20" ht="15.75" thickBot="1">
      <c r="B31" s="364"/>
      <c r="C31" s="365" t="s">
        <v>531</v>
      </c>
      <c r="D31" s="365"/>
      <c r="E31" s="365"/>
      <c r="F31" s="365"/>
      <c r="G31" s="366"/>
      <c r="J31" s="355" t="s">
        <v>531</v>
      </c>
      <c r="M31" s="355" t="s">
        <v>531</v>
      </c>
      <c r="O31" s="347" t="s">
        <v>5</v>
      </c>
      <c r="P31" s="348" t="s">
        <v>560</v>
      </c>
      <c r="Q31" s="348" t="s">
        <v>561</v>
      </c>
      <c r="R31" s="349" t="s">
        <v>562</v>
      </c>
      <c r="T31" s="350" t="s">
        <v>563</v>
      </c>
    </row>
    <row r="32" spans="2:20" ht="15.75" thickBot="1">
      <c r="B32" s="367"/>
      <c r="C32" s="368" t="s">
        <v>152</v>
      </c>
      <c r="D32" s="368" t="s">
        <v>153</v>
      </c>
      <c r="E32" s="368" t="s">
        <v>147</v>
      </c>
      <c r="F32" s="368" t="s">
        <v>154</v>
      </c>
      <c r="G32" s="369"/>
      <c r="I32" s="370" t="s">
        <v>146</v>
      </c>
      <c r="J32" s="371">
        <v>122814</v>
      </c>
      <c r="L32" s="372" t="s">
        <v>564</v>
      </c>
      <c r="M32" s="373">
        <v>60440</v>
      </c>
      <c r="O32" s="351" t="s">
        <v>169</v>
      </c>
      <c r="P32" s="352">
        <v>1507</v>
      </c>
      <c r="Q32" s="352">
        <v>541.76999587651335</v>
      </c>
      <c r="R32" s="353">
        <v>2048.7699958765133</v>
      </c>
      <c r="T32" s="355">
        <v>1631</v>
      </c>
    </row>
    <row r="33" spans="2:20" ht="15.75" thickBot="1">
      <c r="B33" s="374" t="s">
        <v>146</v>
      </c>
      <c r="C33" s="375">
        <v>60440</v>
      </c>
      <c r="D33" s="375">
        <v>18506</v>
      </c>
      <c r="E33" s="375">
        <v>37380</v>
      </c>
      <c r="F33" s="375">
        <v>6488</v>
      </c>
      <c r="G33" s="375">
        <v>122814</v>
      </c>
      <c r="I33" s="370" t="s">
        <v>532</v>
      </c>
      <c r="J33" s="371">
        <v>1189719.3562382699</v>
      </c>
      <c r="L33" s="372" t="s">
        <v>565</v>
      </c>
      <c r="M33" s="373">
        <v>633041.46496660961</v>
      </c>
      <c r="O33" s="351" t="s">
        <v>170</v>
      </c>
      <c r="P33" s="352">
        <v>513</v>
      </c>
      <c r="Q33" s="352">
        <v>537.6875230672066</v>
      </c>
      <c r="R33" s="353">
        <v>1050.6875230672067</v>
      </c>
      <c r="T33" s="355">
        <v>214</v>
      </c>
    </row>
    <row r="34" spans="2:20" ht="16.5" thickTop="1" thickBot="1">
      <c r="B34" s="376" t="s">
        <v>532</v>
      </c>
      <c r="C34" s="377">
        <v>633041.46496660961</v>
      </c>
      <c r="D34" s="377">
        <v>119105.42925125219</v>
      </c>
      <c r="E34" s="377">
        <v>367907.89698913717</v>
      </c>
      <c r="F34" s="377">
        <v>69664.56503127102</v>
      </c>
      <c r="G34" s="377">
        <v>1189719.3562382699</v>
      </c>
      <c r="I34" s="378" t="s">
        <v>546</v>
      </c>
      <c r="J34" s="379">
        <v>4709530.7968852138</v>
      </c>
      <c r="L34" s="372" t="s">
        <v>553</v>
      </c>
      <c r="M34" s="380">
        <v>3544903.7098079971</v>
      </c>
      <c r="O34" s="351" t="s">
        <v>171</v>
      </c>
      <c r="P34" s="352">
        <v>-88</v>
      </c>
      <c r="Q34" s="352"/>
      <c r="R34" s="353">
        <v>-88</v>
      </c>
      <c r="T34" s="355">
        <v>0</v>
      </c>
    </row>
    <row r="35" spans="2:20" ht="15.75" thickBot="1">
      <c r="B35" s="374" t="s">
        <v>156</v>
      </c>
      <c r="C35" s="381">
        <v>3544903.7098079971</v>
      </c>
      <c r="D35" s="381">
        <v>462645.30171522847</v>
      </c>
      <c r="E35" s="381">
        <v>1403667.2658357387</v>
      </c>
      <c r="F35" s="381">
        <v>260576.06375000023</v>
      </c>
      <c r="G35" s="381">
        <v>5671792.3411089657</v>
      </c>
      <c r="I35" s="382" t="s">
        <v>547</v>
      </c>
      <c r="J35" s="383">
        <v>3922283.9976441609</v>
      </c>
      <c r="L35" s="372" t="s">
        <v>554</v>
      </c>
      <c r="M35" s="380">
        <v>2789253.5388309853</v>
      </c>
      <c r="O35" s="384" t="s">
        <v>527</v>
      </c>
      <c r="P35" s="385">
        <v>1932</v>
      </c>
      <c r="Q35" s="385">
        <v>1079.4575189437201</v>
      </c>
      <c r="R35" s="386">
        <v>3011.4575189437201</v>
      </c>
      <c r="T35" s="385">
        <v>1845</v>
      </c>
    </row>
    <row r="36" spans="2:20" ht="16.5" thickTop="1" thickBot="1">
      <c r="B36" s="387" t="s">
        <v>533</v>
      </c>
      <c r="C36" s="388">
        <v>2395167.8881250555</v>
      </c>
      <c r="D36" s="388">
        <v>426201.96780324314</v>
      </c>
      <c r="E36" s="388">
        <v>1226350.7559114555</v>
      </c>
      <c r="F36" s="388">
        <v>239627.58238491215</v>
      </c>
      <c r="G36" s="388">
        <v>4287348.1942246668</v>
      </c>
      <c r="I36" s="382" t="s">
        <v>548</v>
      </c>
      <c r="J36" s="383">
        <v>787246.79924105108</v>
      </c>
      <c r="L36" s="372" t="s">
        <v>555</v>
      </c>
      <c r="M36" s="380">
        <v>755650.17097701179</v>
      </c>
      <c r="P36" s="389"/>
      <c r="Q36" s="389"/>
      <c r="R36" s="389"/>
    </row>
    <row r="37" spans="2:20" ht="16.5" thickTop="1" thickBot="1">
      <c r="B37" s="387" t="s">
        <v>534</v>
      </c>
      <c r="C37" s="388">
        <v>1149735.8216829421</v>
      </c>
      <c r="D37" s="388">
        <v>36443.333911985334</v>
      </c>
      <c r="E37" s="388">
        <v>177316.50992428325</v>
      </c>
      <c r="F37" s="388">
        <v>20948.481365088082</v>
      </c>
      <c r="G37" s="388">
        <v>1384444.146884297</v>
      </c>
      <c r="I37" s="390" t="s">
        <v>549</v>
      </c>
      <c r="J37" s="391">
        <v>0.16716034636862767</v>
      </c>
      <c r="L37" s="392" t="s">
        <v>556</v>
      </c>
      <c r="M37" s="393">
        <v>0.21316521768596644</v>
      </c>
    </row>
    <row r="38" spans="2:20" ht="16.5" thickTop="1" thickBot="1">
      <c r="B38" s="376" t="s">
        <v>535</v>
      </c>
      <c r="C38" s="394">
        <v>0.32433485245364124</v>
      </c>
      <c r="D38" s="394">
        <v>7.8771650283432984E-2</v>
      </c>
      <c r="E38" s="394">
        <v>0.12632374797079091</v>
      </c>
      <c r="F38" s="394">
        <v>8.0392961132402074E-2</v>
      </c>
      <c r="G38" s="394">
        <v>0.24409288345235974</v>
      </c>
      <c r="I38" s="378" t="s">
        <v>550</v>
      </c>
      <c r="J38" s="379">
        <v>245476.8033645378</v>
      </c>
      <c r="L38" s="372" t="s">
        <v>557</v>
      </c>
      <c r="M38" s="380">
        <v>217962.64790980512</v>
      </c>
      <c r="P38" s="395">
        <v>0.26552795031055898</v>
      </c>
      <c r="Q38" s="395">
        <v>0.49810901645610767</v>
      </c>
    </row>
    <row r="39" spans="2:20" ht="15.75" thickBot="1">
      <c r="B39" s="396" t="s">
        <v>536</v>
      </c>
      <c r="C39" s="397">
        <v>684680.25189881469</v>
      </c>
      <c r="D39" s="397">
        <v>128548.06807179181</v>
      </c>
      <c r="E39" s="397">
        <v>397980.04635631508</v>
      </c>
      <c r="F39" s="397">
        <v>75389.492809292875</v>
      </c>
      <c r="G39" s="397">
        <v>1286597.8591362145</v>
      </c>
      <c r="I39" s="382" t="s">
        <v>551</v>
      </c>
      <c r="J39" s="383">
        <v>541769.99587651331</v>
      </c>
      <c r="L39" s="372" t="s">
        <v>558</v>
      </c>
      <c r="M39" s="380">
        <v>537687.52306720661</v>
      </c>
      <c r="Q39" s="398">
        <v>0.31139019296471393</v>
      </c>
    </row>
    <row r="40" spans="2:20" ht="16.5" thickTop="1" thickBot="1">
      <c r="B40" s="396" t="s">
        <v>537</v>
      </c>
      <c r="C40" s="399">
        <v>1423770.2088840953</v>
      </c>
      <c r="D40" s="399">
        <v>268108.53678279772</v>
      </c>
      <c r="E40" s="399">
        <v>827534.42146235029</v>
      </c>
      <c r="F40" s="399">
        <v>156620.37041044462</v>
      </c>
      <c r="G40" s="399">
        <v>2676033.5375396879</v>
      </c>
      <c r="I40" s="390" t="s">
        <v>552</v>
      </c>
      <c r="J40" s="391">
        <v>0.11503693663811032</v>
      </c>
      <c r="L40" s="392" t="s">
        <v>559</v>
      </c>
      <c r="M40" s="393">
        <v>0.15167902066832992</v>
      </c>
      <c r="O40" s="400" t="s">
        <v>170</v>
      </c>
      <c r="P40" s="400"/>
      <c r="Q40" s="401">
        <v>244.98905161516973</v>
      </c>
      <c r="R40" s="398"/>
    </row>
    <row r="41" spans="2:20" ht="16.5" thickTop="1" thickBot="1">
      <c r="B41" s="396" t="s">
        <v>538</v>
      </c>
      <c r="C41" s="399">
        <v>1339249.7370214355</v>
      </c>
      <c r="D41" s="399">
        <v>252963.94852905732</v>
      </c>
      <c r="E41" s="399">
        <v>778172.79505562689</v>
      </c>
      <c r="F41" s="399">
        <v>147194.23359980519</v>
      </c>
      <c r="G41" s="399">
        <v>2517580.7142059244</v>
      </c>
    </row>
    <row r="42" spans="2:20" ht="16.5" thickTop="1" thickBot="1">
      <c r="B42" s="396" t="s">
        <v>539</v>
      </c>
      <c r="C42" s="399">
        <v>84520.47186265979</v>
      </c>
      <c r="D42" s="399">
        <v>15144.588253740396</v>
      </c>
      <c r="E42" s="399">
        <v>49361.626406723401</v>
      </c>
      <c r="F42" s="399">
        <v>9426.1368106394366</v>
      </c>
      <c r="G42" s="399">
        <v>158452.82333376352</v>
      </c>
    </row>
    <row r="43" spans="2:20" ht="16.5" thickTop="1" thickBot="1">
      <c r="B43" s="402" t="s">
        <v>540</v>
      </c>
      <c r="C43" s="403">
        <v>2310647.4162623947</v>
      </c>
      <c r="D43" s="403">
        <v>411057.37954950292</v>
      </c>
      <c r="E43" s="403">
        <v>1176989.1295047316</v>
      </c>
      <c r="F43" s="403">
        <v>230201.44557427277</v>
      </c>
      <c r="G43" s="403">
        <v>4128895.3708909024</v>
      </c>
    </row>
    <row r="44" spans="2:20" ht="16.5" thickTop="1" thickBot="1">
      <c r="B44" s="402" t="s">
        <v>541</v>
      </c>
      <c r="C44" s="403">
        <v>1234256.2935456028</v>
      </c>
      <c r="D44" s="403">
        <v>51587.922165725555</v>
      </c>
      <c r="E44" s="403">
        <v>226678.13633100712</v>
      </c>
      <c r="F44" s="403">
        <v>30374.618175727461</v>
      </c>
      <c r="G44" s="403">
        <v>1542896.9702180615</v>
      </c>
    </row>
    <row r="45" spans="2:20" ht="16.5" thickTop="1" thickBot="1">
      <c r="B45" s="404" t="s">
        <v>542</v>
      </c>
      <c r="C45" s="405">
        <v>0.3481776642143134</v>
      </c>
      <c r="D45" s="405">
        <v>0.11150642181919189</v>
      </c>
      <c r="E45" s="405">
        <v>0.16148993557675051</v>
      </c>
      <c r="F45" s="405">
        <v>0.11656718479280291</v>
      </c>
      <c r="G45" s="405">
        <v>0.27202987652336902</v>
      </c>
    </row>
    <row r="46" spans="2:20" ht="15.75" thickBot="1">
      <c r="B46" s="402" t="s">
        <v>543</v>
      </c>
      <c r="C46" s="403">
        <v>348827.66124529322</v>
      </c>
      <c r="D46" s="403">
        <v>39756.393991236888</v>
      </c>
      <c r="E46" s="403">
        <v>60824.086866275211</v>
      </c>
      <c r="F46" s="403">
        <v>14031.309171537678</v>
      </c>
      <c r="G46" s="403">
        <v>463439.45127434283</v>
      </c>
    </row>
    <row r="47" spans="2:20" ht="16.5" thickTop="1" thickBot="1">
      <c r="B47" s="402" t="s">
        <v>544</v>
      </c>
      <c r="C47" s="403">
        <v>885428.6323003096</v>
      </c>
      <c r="D47" s="403">
        <v>11831.528174488667</v>
      </c>
      <c r="E47" s="403">
        <v>165854.04946473191</v>
      </c>
      <c r="F47" s="403">
        <v>16343.309004189783</v>
      </c>
      <c r="G47" s="403">
        <v>1079457.5189437186</v>
      </c>
    </row>
    <row r="48" spans="2:20" ht="16.5" thickTop="1" thickBot="1">
      <c r="B48" s="404" t="s">
        <v>545</v>
      </c>
      <c r="C48" s="405">
        <v>0.24977508693692191</v>
      </c>
      <c r="D48" s="405">
        <v>2.5573648171988383E-2</v>
      </c>
      <c r="E48" s="405">
        <v>0.11815766706362778</v>
      </c>
      <c r="F48" s="405">
        <v>6.2719916668438694E-2</v>
      </c>
      <c r="G48" s="405">
        <v>0.19032035272515993</v>
      </c>
    </row>
    <row r="49" spans="2:7" ht="15.75" thickBot="1">
      <c r="B49" s="406" t="s">
        <v>546</v>
      </c>
      <c r="C49" s="407">
        <v>2582642.1655842457</v>
      </c>
      <c r="D49" s="407">
        <v>462645.30171522847</v>
      </c>
      <c r="E49" s="407">
        <v>1403667.2658357387</v>
      </c>
      <c r="F49" s="407">
        <v>260576.06375000023</v>
      </c>
      <c r="G49" s="407">
        <v>4709530.7968852138</v>
      </c>
    </row>
    <row r="50" spans="2:7" ht="16.5" thickTop="1" thickBot="1">
      <c r="B50" s="406" t="s">
        <v>547</v>
      </c>
      <c r="C50" s="407">
        <v>2104036.0430156551</v>
      </c>
      <c r="D50" s="407">
        <v>411057.37954950292</v>
      </c>
      <c r="E50" s="407">
        <v>1176989.1295047316</v>
      </c>
      <c r="F50" s="407">
        <v>230201.44557427277</v>
      </c>
      <c r="G50" s="407">
        <v>3922283.9976441627</v>
      </c>
    </row>
    <row r="51" spans="2:7" ht="16.5" thickTop="1" thickBot="1">
      <c r="B51" s="406" t="s">
        <v>548</v>
      </c>
      <c r="C51" s="407">
        <v>478606.12256859057</v>
      </c>
      <c r="D51" s="407">
        <v>51587.922165725555</v>
      </c>
      <c r="E51" s="407">
        <v>226678.13633100712</v>
      </c>
      <c r="F51" s="407">
        <v>30374.618175727461</v>
      </c>
      <c r="G51" s="407">
        <v>787246.79924104922</v>
      </c>
    </row>
    <row r="52" spans="2:7" ht="16.5" thickTop="1" thickBot="1">
      <c r="B52" s="408" t="s">
        <v>549</v>
      </c>
      <c r="C52" s="409">
        <v>0.18531646735517474</v>
      </c>
      <c r="D52" s="409">
        <v>0.11150642181919189</v>
      </c>
      <c r="E52" s="409">
        <v>0.16148993557675051</v>
      </c>
      <c r="F52" s="409">
        <v>0.11656718479280291</v>
      </c>
      <c r="G52" s="409">
        <v>0.16716034636862723</v>
      </c>
    </row>
    <row r="53" spans="2:7" ht="15.75" thickBot="1">
      <c r="B53" s="406" t="s">
        <v>550</v>
      </c>
      <c r="C53" s="407">
        <v>130865.01333548801</v>
      </c>
      <c r="D53" s="407">
        <v>39756.393991236888</v>
      </c>
      <c r="E53" s="407">
        <v>60824.086866275211</v>
      </c>
      <c r="F53" s="407">
        <v>14031.309171537678</v>
      </c>
      <c r="G53" s="407">
        <v>245476.80336453783</v>
      </c>
    </row>
    <row r="54" spans="2:7" ht="16.5" thickTop="1" thickBot="1">
      <c r="B54" s="406" t="s">
        <v>551</v>
      </c>
      <c r="C54" s="407">
        <v>347741.10923310253</v>
      </c>
      <c r="D54" s="407">
        <v>11831.528174488667</v>
      </c>
      <c r="E54" s="407">
        <v>165854.04946473191</v>
      </c>
      <c r="F54" s="407">
        <v>16343.309004189783</v>
      </c>
      <c r="G54" s="407">
        <v>541769.99587651133</v>
      </c>
    </row>
    <row r="55" spans="2:7" ht="16.5" thickTop="1" thickBot="1">
      <c r="B55" s="408" t="s">
        <v>552</v>
      </c>
      <c r="C55" s="409">
        <v>0.13464548587761344</v>
      </c>
      <c r="D55" s="409">
        <v>2.5573648171988383E-2</v>
      </c>
      <c r="E55" s="409">
        <v>0.11815766706362778</v>
      </c>
      <c r="F55" s="409">
        <v>6.2719916668438694E-2</v>
      </c>
      <c r="G55" s="409">
        <v>0.11503693663810989</v>
      </c>
    </row>
    <row r="56" spans="2:7" ht="15.75" thickBot="1">
      <c r="B56" s="410" t="s">
        <v>553</v>
      </c>
      <c r="C56" s="411">
        <v>3544903.7098079971</v>
      </c>
      <c r="D56" s="411"/>
      <c r="E56" s="411"/>
      <c r="F56" s="411"/>
      <c r="G56" s="411">
        <v>3544903.7098079971</v>
      </c>
    </row>
    <row r="57" spans="2:7" ht="16.5" thickTop="1" thickBot="1">
      <c r="B57" s="410" t="s">
        <v>554</v>
      </c>
      <c r="C57" s="411">
        <v>2789253.5388309853</v>
      </c>
      <c r="D57" s="411"/>
      <c r="E57" s="411"/>
      <c r="F57" s="411"/>
      <c r="G57" s="411">
        <v>2789253.5388309853</v>
      </c>
    </row>
    <row r="58" spans="2:7" ht="16.5" thickTop="1" thickBot="1">
      <c r="B58" s="410" t="s">
        <v>555</v>
      </c>
      <c r="C58" s="411">
        <v>755650.17097701179</v>
      </c>
      <c r="D58" s="411"/>
      <c r="E58" s="411"/>
      <c r="F58" s="411"/>
      <c r="G58" s="411">
        <v>755650.17097701179</v>
      </c>
    </row>
    <row r="59" spans="2:7" ht="16.5" thickTop="1" thickBot="1">
      <c r="B59" s="412" t="s">
        <v>556</v>
      </c>
      <c r="C59" s="413">
        <v>0.21316521768596644</v>
      </c>
      <c r="D59" s="413"/>
      <c r="E59" s="413"/>
      <c r="F59" s="413"/>
      <c r="G59" s="413">
        <v>0.21316521768596644</v>
      </c>
    </row>
    <row r="60" spans="2:7" ht="15.75" thickBot="1">
      <c r="B60" s="410" t="s">
        <v>557</v>
      </c>
      <c r="C60" s="411">
        <v>217962.64790980512</v>
      </c>
      <c r="D60" s="411">
        <v>0</v>
      </c>
      <c r="E60" s="411">
        <v>0</v>
      </c>
      <c r="F60" s="411">
        <v>0</v>
      </c>
      <c r="G60" s="411">
        <v>217962.64790980512</v>
      </c>
    </row>
    <row r="61" spans="2:7" ht="16.5" thickTop="1" thickBot="1">
      <c r="B61" s="410" t="s">
        <v>558</v>
      </c>
      <c r="C61" s="411">
        <v>537687.52306720661</v>
      </c>
      <c r="D61" s="411">
        <v>0</v>
      </c>
      <c r="E61" s="411">
        <v>0</v>
      </c>
      <c r="F61" s="411">
        <v>0</v>
      </c>
      <c r="G61" s="411">
        <v>537687.52306720661</v>
      </c>
    </row>
    <row r="62" spans="2:7" ht="16.5" thickTop="1" thickBot="1">
      <c r="B62" s="412" t="s">
        <v>559</v>
      </c>
      <c r="C62" s="413">
        <v>0.15167902066832992</v>
      </c>
      <c r="D62" s="413" t="e">
        <v>#NUM!</v>
      </c>
      <c r="E62" s="413" t="e">
        <v>#NUM!</v>
      </c>
      <c r="F62" s="413" t="e">
        <v>#NUM!</v>
      </c>
      <c r="G62" s="413">
        <v>0.15167902066832992</v>
      </c>
    </row>
  </sheetData>
  <pageMargins left="0.7" right="0.7" top="0.75" bottom="0.75" header="0.3" footer="0.3"/>
  <pageSetup paperSize="9" orientation="portrait" r:id="rId1"/>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FE4B7C-7041-48CF-B98B-498D26E339C7}">
  <sheetPr codeName="Sheet19"/>
  <dimension ref="A1:D3"/>
  <sheetViews>
    <sheetView topLeftCell="B1" workbookViewId="0">
      <selection activeCell="K1" sqref="K1"/>
    </sheetView>
  </sheetViews>
  <sheetFormatPr baseColWidth="10" defaultColWidth="8.875" defaultRowHeight="15.75"/>
  <cols>
    <col min="1" max="1" width="4.125" bestFit="1" customWidth="1"/>
    <col min="2" max="2" width="75.625" bestFit="1" customWidth="1"/>
    <col min="3" max="3" width="75.875" bestFit="1" customWidth="1"/>
    <col min="4" max="4" width="22.875" bestFit="1" customWidth="1"/>
  </cols>
  <sheetData>
    <row r="1" spans="1:4">
      <c r="A1" s="11" t="s">
        <v>45</v>
      </c>
      <c r="B1" s="1" t="s">
        <v>46</v>
      </c>
      <c r="D1" s="12"/>
    </row>
    <row r="2" spans="1:4">
      <c r="A2" s="11"/>
      <c r="B2" t="s">
        <v>64</v>
      </c>
      <c r="C2" t="s">
        <v>49</v>
      </c>
      <c r="D2" s="12" t="s">
        <v>50</v>
      </c>
    </row>
    <row r="3" spans="1:4">
      <c r="A3" s="11"/>
      <c r="B3" t="s">
        <v>63</v>
      </c>
      <c r="C3" t="s">
        <v>51</v>
      </c>
      <c r="D3" s="12" t="s">
        <v>52</v>
      </c>
    </row>
  </sheetData>
  <pageMargins left="0.7" right="0.7" top="0.75" bottom="0.75" header="0.3" footer="0.3"/>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C91FE1-8449-4A76-8A75-2026DFBAC3D1}">
  <sheetPr codeName="Sheet21"/>
  <dimension ref="A1:D3"/>
  <sheetViews>
    <sheetView workbookViewId="0">
      <selection activeCell="K1" sqref="K1"/>
    </sheetView>
  </sheetViews>
  <sheetFormatPr baseColWidth="10" defaultColWidth="8.875" defaultRowHeight="15.75"/>
  <cols>
    <col min="1" max="1" width="4.625" bestFit="1" customWidth="1"/>
    <col min="2" max="2" width="43.125" bestFit="1" customWidth="1"/>
  </cols>
  <sheetData>
    <row r="1" spans="1:4">
      <c r="A1" s="11" t="s">
        <v>47</v>
      </c>
      <c r="B1" s="1" t="s">
        <v>48</v>
      </c>
      <c r="D1" s="12"/>
    </row>
    <row r="2" spans="1:4">
      <c r="A2" s="17"/>
      <c r="B2" t="s">
        <v>62</v>
      </c>
      <c r="D2" s="12"/>
    </row>
    <row r="3" spans="1:4" ht="16.5" thickBot="1">
      <c r="A3" s="18"/>
      <c r="B3" s="19"/>
      <c r="C3" s="19"/>
      <c r="D3" s="20"/>
    </row>
  </sheetData>
  <pageMargins left="0.7" right="0.7" top="0.75" bottom="0.75" header="0.3" footer="0.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201F6D-0E59-4FBD-898D-10234C61F96F}">
  <sheetPr codeName="Sheet22"/>
  <dimension ref="A1:C9"/>
  <sheetViews>
    <sheetView workbookViewId="0">
      <selection activeCell="K1" sqref="K1"/>
    </sheetView>
  </sheetViews>
  <sheetFormatPr baseColWidth="10" defaultColWidth="8.875" defaultRowHeight="15.75"/>
  <cols>
    <col min="1" max="1" width="4.625" bestFit="1" customWidth="1"/>
    <col min="2" max="2" width="75.5" bestFit="1" customWidth="1"/>
    <col min="3" max="3" width="8.375" bestFit="1" customWidth="1"/>
  </cols>
  <sheetData>
    <row r="1" spans="1:3">
      <c r="A1" s="21" t="s">
        <v>53</v>
      </c>
      <c r="B1" s="24" t="s">
        <v>54</v>
      </c>
      <c r="C1" s="22"/>
    </row>
    <row r="2" spans="1:3">
      <c r="A2" s="11"/>
      <c r="B2" t="s">
        <v>61</v>
      </c>
      <c r="C2" t="s">
        <v>57</v>
      </c>
    </row>
    <row r="3" spans="1:3">
      <c r="A3" s="11"/>
      <c r="B3" t="s">
        <v>60</v>
      </c>
      <c r="C3" t="s">
        <v>58</v>
      </c>
    </row>
    <row r="4" spans="1:3">
      <c r="A4" s="11"/>
      <c r="B4" t="s">
        <v>59</v>
      </c>
      <c r="C4" t="s">
        <v>14</v>
      </c>
    </row>
    <row r="5" spans="1:3">
      <c r="A5" s="11"/>
    </row>
    <row r="6" spans="1:3">
      <c r="A6" s="11" t="s">
        <v>55</v>
      </c>
      <c r="B6" s="1" t="s">
        <v>56</v>
      </c>
    </row>
    <row r="7" spans="1:3">
      <c r="A7" s="17"/>
      <c r="B7" t="s">
        <v>66</v>
      </c>
      <c r="C7" t="s">
        <v>57</v>
      </c>
    </row>
    <row r="8" spans="1:3">
      <c r="A8" s="17"/>
      <c r="B8" t="s">
        <v>65</v>
      </c>
      <c r="C8" t="s">
        <v>58</v>
      </c>
    </row>
    <row r="9" spans="1:3" ht="16.5" thickBot="1">
      <c r="A9" s="18"/>
      <c r="B9" s="19"/>
      <c r="C9" s="19"/>
    </row>
  </sheetData>
  <pageMargins left="0.7" right="0.7" top="0.75" bottom="0.75" header="0.3" footer="0.3"/>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FB4332-1D2C-4624-93A5-688E1B7D8CE1}">
  <sheetPr codeName="Sheet23">
    <tabColor theme="8" tint="0.39997558519241921"/>
  </sheetPr>
  <dimension ref="A2:O64"/>
  <sheetViews>
    <sheetView zoomScale="94" zoomScaleNormal="94" workbookViewId="0">
      <selection activeCell="I22" sqref="I22:K38"/>
    </sheetView>
  </sheetViews>
  <sheetFormatPr baseColWidth="10" defaultColWidth="7.875" defaultRowHeight="12.75"/>
  <cols>
    <col min="1" max="1" width="7.875" style="108"/>
    <col min="2" max="2" width="10" style="108" customWidth="1"/>
    <col min="3" max="16384" width="7.875" style="108"/>
  </cols>
  <sheetData>
    <row r="2" spans="2:15" ht="18.75">
      <c r="B2" s="300" t="str">
        <f>[79]RO_table!B20</f>
        <v>Domestic market - performance stratification
(Regions, KA and Recovery Rate)</v>
      </c>
    </row>
    <row r="4" spans="2:15" ht="18" customHeight="1">
      <c r="B4" s="301"/>
      <c r="C4" s="302"/>
      <c r="D4" s="302"/>
      <c r="E4" s="302"/>
      <c r="F4" s="302"/>
      <c r="G4" s="302"/>
      <c r="H4" s="302"/>
      <c r="I4" s="302"/>
      <c r="J4" s="302"/>
      <c r="K4" s="302"/>
      <c r="L4" s="302"/>
      <c r="M4" s="302"/>
      <c r="N4" s="302"/>
      <c r="O4" s="303"/>
    </row>
    <row r="5" spans="2:15">
      <c r="B5" s="304"/>
      <c r="C5" s="305"/>
      <c r="D5" s="305"/>
      <c r="E5" s="305"/>
      <c r="F5" s="305"/>
      <c r="G5" s="305"/>
      <c r="H5" s="305"/>
      <c r="I5" s="305"/>
      <c r="J5" s="305"/>
      <c r="K5" s="305"/>
      <c r="L5" s="305"/>
      <c r="M5" s="305"/>
      <c r="N5" s="305"/>
      <c r="O5" s="306"/>
    </row>
    <row r="6" spans="2:15">
      <c r="B6" s="304"/>
      <c r="C6" s="305"/>
      <c r="D6" s="305"/>
      <c r="E6" s="305"/>
      <c r="F6" s="305"/>
      <c r="G6" s="305"/>
      <c r="H6" s="305"/>
      <c r="I6" s="305"/>
      <c r="J6" s="305"/>
      <c r="K6" s="305"/>
      <c r="L6" s="305"/>
      <c r="M6" s="305"/>
      <c r="N6" s="305"/>
      <c r="O6" s="306"/>
    </row>
    <row r="7" spans="2:15">
      <c r="B7" s="304"/>
      <c r="C7" s="305"/>
      <c r="D7" s="305"/>
      <c r="E7" s="305"/>
      <c r="F7" s="305"/>
      <c r="G7" s="305"/>
      <c r="H7" s="305"/>
      <c r="I7" s="305"/>
      <c r="J7" s="305"/>
      <c r="K7" s="305"/>
      <c r="L7" s="305"/>
      <c r="M7" s="305"/>
      <c r="N7" s="305"/>
      <c r="O7" s="306"/>
    </row>
    <row r="8" spans="2:15">
      <c r="B8" s="304"/>
      <c r="C8" s="305"/>
      <c r="D8" s="305"/>
      <c r="E8" s="305"/>
      <c r="F8" s="305"/>
      <c r="G8" s="305"/>
      <c r="H8" s="305"/>
      <c r="I8" s="305"/>
      <c r="J8" s="305"/>
      <c r="K8" s="305"/>
      <c r="L8" s="305"/>
      <c r="M8" s="305"/>
      <c r="N8" s="305"/>
      <c r="O8" s="306"/>
    </row>
    <row r="9" spans="2:15">
      <c r="B9" s="304"/>
      <c r="C9" s="305"/>
      <c r="D9" s="305"/>
      <c r="E9" s="305"/>
      <c r="F9" s="305"/>
      <c r="G9" s="305"/>
      <c r="H9" s="305"/>
      <c r="I9" s="305"/>
      <c r="J9" s="305"/>
      <c r="K9" s="305"/>
      <c r="L9" s="305"/>
      <c r="M9" s="305"/>
      <c r="N9" s="305"/>
      <c r="O9" s="306"/>
    </row>
    <row r="10" spans="2:15">
      <c r="B10" s="304"/>
      <c r="C10" s="305"/>
      <c r="D10" s="305"/>
      <c r="E10" s="305"/>
      <c r="F10" s="305"/>
      <c r="G10" s="305"/>
      <c r="H10" s="305"/>
      <c r="I10" s="305"/>
      <c r="J10" s="305"/>
      <c r="K10" s="305"/>
      <c r="L10" s="305"/>
      <c r="M10" s="305"/>
      <c r="N10" s="305"/>
      <c r="O10" s="306"/>
    </row>
    <row r="11" spans="2:15">
      <c r="B11" s="304"/>
      <c r="C11" s="305"/>
      <c r="D11" s="305"/>
      <c r="E11" s="305"/>
      <c r="F11" s="305"/>
      <c r="G11" s="305"/>
      <c r="H11" s="305"/>
      <c r="I11" s="305"/>
      <c r="J11" s="305"/>
      <c r="K11" s="305"/>
      <c r="L11" s="305"/>
      <c r="M11" s="305"/>
      <c r="N11" s="305"/>
      <c r="O11" s="306"/>
    </row>
    <row r="12" spans="2:15">
      <c r="B12" s="304"/>
      <c r="C12" s="305"/>
      <c r="D12" s="305"/>
      <c r="E12" s="305"/>
      <c r="F12" s="305"/>
      <c r="G12" s="305"/>
      <c r="H12" s="305"/>
      <c r="I12" s="305"/>
      <c r="J12" s="305"/>
      <c r="K12" s="305"/>
      <c r="L12" s="305"/>
      <c r="M12" s="305"/>
      <c r="N12" s="305"/>
      <c r="O12" s="306"/>
    </row>
    <row r="13" spans="2:15">
      <c r="B13" s="304"/>
      <c r="C13" s="305"/>
      <c r="D13" s="305"/>
      <c r="E13" s="305"/>
      <c r="F13" s="305"/>
      <c r="G13" s="305"/>
      <c r="H13" s="305"/>
      <c r="I13" s="305"/>
      <c r="J13" s="305"/>
      <c r="K13" s="305"/>
      <c r="L13" s="305"/>
      <c r="M13" s="305"/>
      <c r="N13" s="305"/>
      <c r="O13" s="306"/>
    </row>
    <row r="14" spans="2:15">
      <c r="B14" s="304"/>
      <c r="C14" s="305"/>
      <c r="D14" s="305"/>
      <c r="E14" s="305"/>
      <c r="F14" s="305"/>
      <c r="G14" s="305"/>
      <c r="H14" s="305"/>
      <c r="I14" s="305"/>
      <c r="J14" s="305"/>
      <c r="K14" s="305"/>
      <c r="L14" s="305"/>
      <c r="M14" s="305"/>
      <c r="N14" s="305"/>
      <c r="O14" s="306"/>
    </row>
    <row r="15" spans="2:15">
      <c r="B15" s="304"/>
      <c r="C15" s="305"/>
      <c r="D15" s="305"/>
      <c r="E15" s="305"/>
      <c r="F15" s="305"/>
      <c r="G15" s="305"/>
      <c r="H15" s="305"/>
      <c r="I15" s="305"/>
      <c r="J15" s="305"/>
      <c r="K15" s="305"/>
      <c r="L15" s="305"/>
      <c r="M15" s="305"/>
      <c r="N15" s="305"/>
      <c r="O15" s="306"/>
    </row>
    <row r="16" spans="2:15">
      <c r="B16" s="304"/>
      <c r="C16" s="305"/>
      <c r="D16" s="305"/>
      <c r="E16" s="305"/>
      <c r="F16" s="305"/>
      <c r="G16" s="305"/>
      <c r="H16" s="305"/>
      <c r="I16" s="305"/>
      <c r="J16" s="305"/>
      <c r="K16" s="305"/>
      <c r="L16" s="305"/>
      <c r="M16" s="305"/>
      <c r="N16" s="305"/>
      <c r="O16" s="306"/>
    </row>
    <row r="17" spans="2:15">
      <c r="B17" s="304"/>
      <c r="C17" s="305"/>
      <c r="D17" s="305"/>
      <c r="E17" s="305"/>
      <c r="F17" s="305"/>
      <c r="G17" s="305"/>
      <c r="H17" s="305"/>
      <c r="I17" s="305"/>
      <c r="J17" s="305"/>
      <c r="K17" s="305"/>
      <c r="L17" s="305"/>
      <c r="M17" s="305"/>
      <c r="N17" s="305"/>
      <c r="O17" s="306"/>
    </row>
    <row r="18" spans="2:15">
      <c r="B18" s="304"/>
      <c r="C18" s="305"/>
      <c r="D18" s="305"/>
      <c r="E18" s="305"/>
      <c r="F18" s="305"/>
      <c r="G18" s="305"/>
      <c r="H18" s="305"/>
      <c r="I18" s="305"/>
      <c r="J18" s="305"/>
      <c r="K18" s="305"/>
      <c r="L18" s="305"/>
      <c r="M18" s="305"/>
      <c r="N18" s="305"/>
      <c r="O18" s="306"/>
    </row>
    <row r="19" spans="2:15">
      <c r="B19" s="304"/>
      <c r="C19" s="305"/>
      <c r="D19" s="305"/>
      <c r="E19" s="305"/>
      <c r="F19" s="305"/>
      <c r="G19" s="305"/>
      <c r="H19" s="305"/>
      <c r="I19" s="305"/>
      <c r="J19" s="305"/>
      <c r="K19" s="305"/>
      <c r="L19" s="305"/>
      <c r="M19" s="305"/>
      <c r="N19" s="305"/>
      <c r="O19" s="306"/>
    </row>
    <row r="20" spans="2:15">
      <c r="B20" s="304"/>
      <c r="C20" s="305"/>
      <c r="D20" s="305"/>
      <c r="E20" s="305"/>
      <c r="F20" s="305"/>
      <c r="G20" s="305"/>
      <c r="H20" s="305"/>
      <c r="I20" s="305"/>
      <c r="J20" s="305"/>
      <c r="K20" s="305"/>
      <c r="L20" s="305"/>
      <c r="M20" s="305"/>
      <c r="N20" s="305"/>
      <c r="O20" s="306"/>
    </row>
    <row r="21" spans="2:15">
      <c r="B21" s="304"/>
      <c r="C21" s="305"/>
      <c r="D21" s="305"/>
      <c r="E21" s="305"/>
      <c r="F21" s="305"/>
      <c r="G21" s="305"/>
      <c r="H21" s="305"/>
      <c r="I21" s="301"/>
      <c r="J21" s="302"/>
      <c r="K21" s="302"/>
      <c r="L21" s="302"/>
      <c r="M21" s="302"/>
      <c r="N21" s="303"/>
      <c r="O21" s="306"/>
    </row>
    <row r="22" spans="2:15">
      <c r="B22" s="304"/>
      <c r="C22" s="305"/>
      <c r="D22" s="305"/>
      <c r="E22" s="305"/>
      <c r="F22" s="305"/>
      <c r="G22" s="305"/>
      <c r="H22" s="305"/>
      <c r="I22" s="307" t="s">
        <v>197</v>
      </c>
      <c r="J22" s="305"/>
      <c r="K22" s="305"/>
      <c r="L22" s="305"/>
      <c r="M22" s="305"/>
      <c r="N22" s="306"/>
      <c r="O22" s="306"/>
    </row>
    <row r="23" spans="2:15">
      <c r="B23" s="304"/>
      <c r="C23" s="305"/>
      <c r="D23" s="305"/>
      <c r="E23" s="305"/>
      <c r="F23" s="305"/>
      <c r="G23" s="305"/>
      <c r="H23" s="305"/>
      <c r="I23" s="304"/>
      <c r="J23" s="305"/>
      <c r="K23" s="305"/>
      <c r="L23" s="305"/>
      <c r="M23" s="305"/>
      <c r="N23" s="306"/>
      <c r="O23" s="306"/>
    </row>
    <row r="24" spans="2:15">
      <c r="B24" s="304"/>
      <c r="C24" s="305"/>
      <c r="D24" s="305"/>
      <c r="E24" s="305"/>
      <c r="F24" s="305"/>
      <c r="G24" s="305"/>
      <c r="H24" s="305"/>
      <c r="I24" s="304"/>
      <c r="J24" s="305"/>
      <c r="K24" s="305"/>
      <c r="L24" s="305"/>
      <c r="M24" s="305"/>
      <c r="N24" s="306"/>
      <c r="O24" s="306"/>
    </row>
    <row r="25" spans="2:15">
      <c r="B25" s="304"/>
      <c r="C25" s="305"/>
      <c r="D25" s="305"/>
      <c r="E25" s="305"/>
      <c r="F25" s="305"/>
      <c r="G25" s="305"/>
      <c r="H25" s="305"/>
      <c r="I25" s="304"/>
      <c r="J25" s="305"/>
      <c r="K25" s="305"/>
      <c r="L25" s="305"/>
      <c r="M25" s="305"/>
      <c r="N25" s="306"/>
      <c r="O25" s="306"/>
    </row>
    <row r="26" spans="2:15">
      <c r="B26" s="304"/>
      <c r="C26" s="305"/>
      <c r="D26" s="305"/>
      <c r="E26" s="305"/>
      <c r="F26" s="305"/>
      <c r="G26" s="305"/>
      <c r="H26" s="305"/>
      <c r="I26" s="304"/>
      <c r="J26" s="305"/>
      <c r="K26" s="305"/>
      <c r="L26" s="305"/>
      <c r="M26" s="305"/>
      <c r="N26" s="306"/>
      <c r="O26" s="306"/>
    </row>
    <row r="27" spans="2:15">
      <c r="B27" s="304"/>
      <c r="C27" s="305"/>
      <c r="D27" s="305"/>
      <c r="E27" s="305"/>
      <c r="F27" s="305"/>
      <c r="G27" s="305"/>
      <c r="H27" s="305"/>
      <c r="I27" s="304"/>
      <c r="J27" s="305"/>
      <c r="K27" s="305"/>
      <c r="L27" s="305"/>
      <c r="M27" s="305"/>
      <c r="N27" s="306"/>
      <c r="O27" s="306"/>
    </row>
    <row r="28" spans="2:15">
      <c r="B28" s="304"/>
      <c r="C28" s="305"/>
      <c r="D28" s="305"/>
      <c r="E28" s="305"/>
      <c r="F28" s="305"/>
      <c r="G28" s="305"/>
      <c r="H28" s="305"/>
      <c r="I28" s="304"/>
      <c r="J28" s="305"/>
      <c r="K28" s="305"/>
      <c r="L28" s="305"/>
      <c r="M28" s="305"/>
      <c r="N28" s="306"/>
      <c r="O28" s="306"/>
    </row>
    <row r="29" spans="2:15">
      <c r="B29" s="304"/>
      <c r="C29" s="305"/>
      <c r="D29" s="305"/>
      <c r="E29" s="305"/>
      <c r="F29" s="305"/>
      <c r="G29" s="305"/>
      <c r="H29" s="305"/>
      <c r="I29" s="304"/>
      <c r="J29" s="305"/>
      <c r="K29" s="305"/>
      <c r="L29" s="305"/>
      <c r="M29" s="305"/>
      <c r="N29" s="306"/>
      <c r="O29" s="306"/>
    </row>
    <row r="30" spans="2:15">
      <c r="B30" s="304"/>
      <c r="C30" s="305"/>
      <c r="D30" s="305"/>
      <c r="E30" s="305"/>
      <c r="F30" s="305"/>
      <c r="G30" s="305"/>
      <c r="H30" s="305"/>
      <c r="I30" s="304"/>
      <c r="J30" s="305"/>
      <c r="K30" s="305"/>
      <c r="L30" s="305"/>
      <c r="M30" s="305"/>
      <c r="N30" s="306"/>
      <c r="O30" s="306"/>
    </row>
    <row r="31" spans="2:15">
      <c r="B31" s="304"/>
      <c r="C31" s="305"/>
      <c r="D31" s="305"/>
      <c r="E31" s="305"/>
      <c r="F31" s="305"/>
      <c r="G31" s="305"/>
      <c r="H31" s="305"/>
      <c r="I31" s="304"/>
      <c r="J31" s="305"/>
      <c r="K31" s="305"/>
      <c r="L31" s="305"/>
      <c r="M31" s="305"/>
      <c r="N31" s="306"/>
      <c r="O31" s="306"/>
    </row>
    <row r="32" spans="2:15">
      <c r="B32" s="304"/>
      <c r="C32" s="305"/>
      <c r="D32" s="305"/>
      <c r="E32" s="305"/>
      <c r="F32" s="305"/>
      <c r="G32" s="305"/>
      <c r="H32" s="305"/>
      <c r="I32" s="304"/>
      <c r="J32" s="305"/>
      <c r="K32" s="305"/>
      <c r="L32" s="305"/>
      <c r="M32" s="305"/>
      <c r="N32" s="306"/>
      <c r="O32" s="306"/>
    </row>
    <row r="33" spans="2:15">
      <c r="B33" s="304"/>
      <c r="C33" s="305"/>
      <c r="D33" s="305"/>
      <c r="E33" s="305"/>
      <c r="F33" s="305"/>
      <c r="G33" s="305"/>
      <c r="H33" s="305"/>
      <c r="I33" s="304"/>
      <c r="J33" s="305"/>
      <c r="K33" s="305"/>
      <c r="L33" s="305"/>
      <c r="M33" s="305"/>
      <c r="N33" s="306"/>
      <c r="O33" s="306"/>
    </row>
    <row r="34" spans="2:15">
      <c r="B34" s="304"/>
      <c r="C34" s="305"/>
      <c r="D34" s="305"/>
      <c r="E34" s="305"/>
      <c r="F34" s="305"/>
      <c r="G34" s="305"/>
      <c r="H34" s="305"/>
      <c r="I34" s="304"/>
      <c r="J34" s="305"/>
      <c r="K34" s="305"/>
      <c r="L34" s="305"/>
      <c r="M34" s="305"/>
      <c r="N34" s="306"/>
      <c r="O34" s="306"/>
    </row>
    <row r="35" spans="2:15">
      <c r="B35" s="304"/>
      <c r="C35" s="305"/>
      <c r="D35" s="305"/>
      <c r="E35" s="305"/>
      <c r="F35" s="305"/>
      <c r="G35" s="305"/>
      <c r="H35" s="305"/>
      <c r="I35" s="304"/>
      <c r="J35" s="305"/>
      <c r="K35" s="305"/>
      <c r="L35" s="305"/>
      <c r="M35" s="305"/>
      <c r="N35" s="306"/>
      <c r="O35" s="306"/>
    </row>
    <row r="36" spans="2:15">
      <c r="B36" s="304"/>
      <c r="C36" s="305"/>
      <c r="D36" s="305"/>
      <c r="E36" s="305"/>
      <c r="F36" s="305"/>
      <c r="G36" s="305"/>
      <c r="H36" s="305"/>
      <c r="I36" s="304"/>
      <c r="J36" s="305"/>
      <c r="K36" s="305"/>
      <c r="L36" s="305"/>
      <c r="M36" s="305"/>
      <c r="N36" s="306"/>
      <c r="O36" s="306"/>
    </row>
    <row r="37" spans="2:15">
      <c r="B37" s="304"/>
      <c r="C37" s="305"/>
      <c r="D37" s="305"/>
      <c r="E37" s="305"/>
      <c r="F37" s="305"/>
      <c r="G37" s="305"/>
      <c r="H37" s="305"/>
      <c r="I37" s="304"/>
      <c r="J37" s="305"/>
      <c r="K37" s="305"/>
      <c r="L37" s="305"/>
      <c r="M37" s="305"/>
      <c r="N37" s="306"/>
      <c r="O37" s="306"/>
    </row>
    <row r="38" spans="2:15">
      <c r="B38" s="304"/>
      <c r="C38" s="305"/>
      <c r="D38" s="305"/>
      <c r="E38" s="305"/>
      <c r="F38" s="305"/>
      <c r="G38" s="305"/>
      <c r="H38" s="305"/>
      <c r="I38" s="308"/>
      <c r="J38" s="309"/>
      <c r="K38" s="309"/>
      <c r="L38" s="309"/>
      <c r="M38" s="309"/>
      <c r="N38" s="310"/>
      <c r="O38" s="306"/>
    </row>
    <row r="39" spans="2:15">
      <c r="B39" s="304"/>
      <c r="C39" s="305"/>
      <c r="D39" s="305"/>
      <c r="E39" s="305"/>
      <c r="F39" s="305"/>
      <c r="G39" s="305"/>
      <c r="H39" s="305"/>
      <c r="I39" s="305"/>
      <c r="J39" s="305"/>
      <c r="K39" s="305"/>
      <c r="L39" s="305"/>
      <c r="M39" s="305"/>
      <c r="N39" s="305"/>
      <c r="O39" s="306"/>
    </row>
    <row r="40" spans="2:15">
      <c r="B40" s="308"/>
      <c r="C40" s="309"/>
      <c r="D40" s="309"/>
      <c r="E40" s="309"/>
      <c r="F40" s="309"/>
      <c r="G40" s="309"/>
      <c r="H40" s="309"/>
      <c r="I40" s="309"/>
      <c r="J40" s="309"/>
      <c r="K40" s="309"/>
      <c r="L40" s="309"/>
      <c r="M40" s="309"/>
      <c r="N40" s="309"/>
      <c r="O40" s="310"/>
    </row>
    <row r="43" spans="2:15" ht="38.25">
      <c r="C43" s="311" t="s">
        <v>459</v>
      </c>
      <c r="D43" s="311" t="s">
        <v>460</v>
      </c>
      <c r="E43" s="311" t="s">
        <v>461</v>
      </c>
      <c r="H43" s="108" t="s">
        <v>462</v>
      </c>
      <c r="I43" s="312" t="s">
        <v>461</v>
      </c>
    </row>
    <row r="44" spans="2:15">
      <c r="B44" s="108" t="s">
        <v>463</v>
      </c>
      <c r="C44" s="108">
        <v>1450</v>
      </c>
      <c r="D44" s="108">
        <v>277</v>
      </c>
      <c r="E44" s="108">
        <v>2300</v>
      </c>
      <c r="H44" s="108" t="s">
        <v>464</v>
      </c>
      <c r="I44" s="108">
        <v>5000</v>
      </c>
    </row>
    <row r="45" spans="2:15">
      <c r="B45" s="108" t="s">
        <v>465</v>
      </c>
      <c r="C45" s="108">
        <v>1700</v>
      </c>
      <c r="D45" s="119">
        <f>D44/E44*E45</f>
        <v>301.08695652173913</v>
      </c>
      <c r="E45" s="108">
        <v>2500</v>
      </c>
      <c r="H45" s="108" t="s">
        <v>466</v>
      </c>
      <c r="I45" s="108">
        <v>6000</v>
      </c>
    </row>
    <row r="46" spans="2:15">
      <c r="B46" s="108" t="s">
        <v>467</v>
      </c>
      <c r="C46" s="108">
        <v>1200</v>
      </c>
      <c r="D46" s="119">
        <f t="shared" ref="D46:D53" si="0">D45/E45*E46</f>
        <v>240.86956521739131</v>
      </c>
      <c r="E46" s="108">
        <v>2000</v>
      </c>
      <c r="H46" s="108" t="s">
        <v>468</v>
      </c>
      <c r="I46" s="108">
        <v>4000</v>
      </c>
    </row>
    <row r="47" spans="2:15">
      <c r="B47" s="108" t="s">
        <v>469</v>
      </c>
      <c r="C47" s="108">
        <v>1150</v>
      </c>
      <c r="D47" s="119">
        <f t="shared" si="0"/>
        <v>216.78260869565219</v>
      </c>
      <c r="E47" s="108">
        <v>1800</v>
      </c>
      <c r="H47" s="108" t="s">
        <v>470</v>
      </c>
      <c r="I47" s="108">
        <v>3000</v>
      </c>
    </row>
    <row r="48" spans="2:15">
      <c r="B48" s="108" t="s">
        <v>471</v>
      </c>
      <c r="C48" s="108">
        <v>900</v>
      </c>
      <c r="D48" s="119">
        <f t="shared" si="0"/>
        <v>186.67391304347825</v>
      </c>
      <c r="E48" s="108">
        <v>1550</v>
      </c>
      <c r="H48" s="108" t="s">
        <v>472</v>
      </c>
      <c r="I48" s="108">
        <v>2500</v>
      </c>
    </row>
    <row r="49" spans="1:9">
      <c r="B49" s="108" t="s">
        <v>473</v>
      </c>
      <c r="C49" s="108">
        <v>800</v>
      </c>
      <c r="D49" s="119">
        <f t="shared" si="0"/>
        <v>174.63043478260869</v>
      </c>
      <c r="E49" s="108">
        <v>1450</v>
      </c>
      <c r="H49" s="108" t="s">
        <v>474</v>
      </c>
      <c r="I49" s="108">
        <v>2000</v>
      </c>
    </row>
    <row r="50" spans="1:9">
      <c r="B50" s="108" t="s">
        <v>475</v>
      </c>
      <c r="C50" s="108">
        <v>850</v>
      </c>
      <c r="D50" s="119">
        <f t="shared" si="0"/>
        <v>168.60869565217391</v>
      </c>
      <c r="E50" s="108">
        <v>1400</v>
      </c>
    </row>
    <row r="51" spans="1:9">
      <c r="B51" s="108" t="s">
        <v>476</v>
      </c>
      <c r="C51" s="108">
        <v>700</v>
      </c>
      <c r="D51" s="119">
        <f t="shared" si="0"/>
        <v>156.56521739130434</v>
      </c>
      <c r="E51" s="108">
        <v>1300</v>
      </c>
    </row>
    <row r="52" spans="1:9">
      <c r="B52" s="108" t="s">
        <v>477</v>
      </c>
      <c r="C52" s="108">
        <v>780</v>
      </c>
      <c r="D52" s="119">
        <f t="shared" si="0"/>
        <v>108.39130434782609</v>
      </c>
      <c r="E52" s="108">
        <v>900</v>
      </c>
    </row>
    <row r="53" spans="1:9">
      <c r="B53" s="108" t="s">
        <v>478</v>
      </c>
      <c r="C53" s="108">
        <v>500</v>
      </c>
      <c r="D53" s="119">
        <f t="shared" si="0"/>
        <v>96.347826086956516</v>
      </c>
      <c r="E53" s="108">
        <v>800</v>
      </c>
    </row>
    <row r="56" spans="1:9" ht="13.5" thickBot="1">
      <c r="B56" s="108" t="s">
        <v>119</v>
      </c>
      <c r="C56" s="313">
        <f>SUM(C44:C55)</f>
        <v>10030</v>
      </c>
      <c r="D56" s="314">
        <f>SUM(D44:D55)</f>
        <v>1926.9565217391305</v>
      </c>
      <c r="E56" s="313">
        <f>SUM(E44:E55)</f>
        <v>16000</v>
      </c>
    </row>
    <row r="57" spans="1:9" ht="13.5" thickTop="1"/>
    <row r="58" spans="1:9">
      <c r="B58" s="108" t="s">
        <v>479</v>
      </c>
      <c r="C58" s="108">
        <v>15000</v>
      </c>
      <c r="D58" s="119">
        <v>2300</v>
      </c>
      <c r="E58" s="108">
        <v>21000</v>
      </c>
    </row>
    <row r="59" spans="1:9" ht="15.75">
      <c r="B59" s="108" t="s">
        <v>480</v>
      </c>
      <c r="C59" s="122">
        <f>C56/C58</f>
        <v>0.66866666666666663</v>
      </c>
      <c r="D59" s="122">
        <f t="shared" ref="D59:E59" si="1">D56/D58</f>
        <v>0.83780718336483939</v>
      </c>
      <c r="E59" s="122">
        <f t="shared" si="1"/>
        <v>0.76190476190476186</v>
      </c>
    </row>
    <row r="60" spans="1:9">
      <c r="B60" s="108" t="s">
        <v>481</v>
      </c>
      <c r="E60" s="121">
        <f>E56/C56</f>
        <v>1.5952143569292123</v>
      </c>
    </row>
    <row r="61" spans="1:9" ht="15.75">
      <c r="B61" s="108" t="s">
        <v>482</v>
      </c>
      <c r="D61" s="122">
        <f>D56/E56</f>
        <v>0.12043478260869565</v>
      </c>
    </row>
    <row r="63" spans="1:9" ht="15.75">
      <c r="A63" s="108" t="s">
        <v>483</v>
      </c>
      <c r="B63" s="108" t="s">
        <v>484</v>
      </c>
      <c r="C63" s="122">
        <v>0.9</v>
      </c>
    </row>
    <row r="64" spans="1:9" ht="15.75">
      <c r="B64" s="108" t="s">
        <v>485</v>
      </c>
      <c r="C64" s="122">
        <f>1-C63</f>
        <v>9.9999999999999978E-2</v>
      </c>
    </row>
  </sheetData>
  <pageMargins left="0.7" right="0.7" top="0.75" bottom="0.75" header="0.3" footer="0.3"/>
  <drawing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CA4FFE-1802-4991-8AB8-C86180900B52}">
  <sheetPr codeName="Sheet24">
    <tabColor theme="8" tint="0.39997558519241921"/>
  </sheetPr>
  <dimension ref="A2:O59"/>
  <sheetViews>
    <sheetView topLeftCell="A10" zoomScale="93" zoomScaleNormal="93" workbookViewId="0">
      <selection activeCell="I22" sqref="I22:K38"/>
    </sheetView>
  </sheetViews>
  <sheetFormatPr baseColWidth="10" defaultColWidth="7.875" defaultRowHeight="12.75"/>
  <cols>
    <col min="1" max="7" width="7.875" style="108"/>
    <col min="8" max="10" width="9.875" style="108" customWidth="1"/>
    <col min="11" max="16384" width="7.875" style="108"/>
  </cols>
  <sheetData>
    <row r="2" spans="2:15" ht="18.75">
      <c r="B2" s="107" t="str">
        <f>[79]RO_table!B21</f>
        <v>Domestic market - product performance</v>
      </c>
    </row>
    <row r="4" spans="2:15">
      <c r="B4" s="301"/>
      <c r="C4" s="302"/>
      <c r="D4" s="302"/>
      <c r="E4" s="302"/>
      <c r="F4" s="302"/>
      <c r="G4" s="302"/>
      <c r="H4" s="302"/>
      <c r="I4" s="302"/>
      <c r="J4" s="302"/>
      <c r="K4" s="302"/>
      <c r="L4" s="302"/>
      <c r="M4" s="302"/>
      <c r="N4" s="302"/>
      <c r="O4" s="303"/>
    </row>
    <row r="5" spans="2:15">
      <c r="B5" s="304"/>
      <c r="C5" s="305"/>
      <c r="D5" s="305"/>
      <c r="E5" s="305"/>
      <c r="F5" s="305"/>
      <c r="G5" s="305"/>
      <c r="H5" s="305"/>
      <c r="I5" s="305"/>
      <c r="J5" s="305"/>
      <c r="K5" s="305"/>
      <c r="L5" s="305"/>
      <c r="M5" s="305"/>
      <c r="N5" s="305"/>
      <c r="O5" s="306"/>
    </row>
    <row r="6" spans="2:15">
      <c r="B6" s="304"/>
      <c r="C6" s="305"/>
      <c r="D6" s="305"/>
      <c r="E6" s="305"/>
      <c r="F6" s="305"/>
      <c r="G6" s="305"/>
      <c r="H6" s="305"/>
      <c r="I6" s="305"/>
      <c r="J6" s="305"/>
      <c r="K6" s="305"/>
      <c r="L6" s="305"/>
      <c r="M6" s="305"/>
      <c r="N6" s="305"/>
      <c r="O6" s="306"/>
    </row>
    <row r="7" spans="2:15">
      <c r="B7" s="304"/>
      <c r="C7" s="305"/>
      <c r="D7" s="305"/>
      <c r="E7" s="305"/>
      <c r="F7" s="305"/>
      <c r="G7" s="305"/>
      <c r="H7" s="305"/>
      <c r="I7" s="305"/>
      <c r="J7" s="305"/>
      <c r="K7" s="305"/>
      <c r="L7" s="305"/>
      <c r="M7" s="305"/>
      <c r="N7" s="305"/>
      <c r="O7" s="306"/>
    </row>
    <row r="8" spans="2:15">
      <c r="B8" s="304"/>
      <c r="C8" s="305"/>
      <c r="D8" s="305"/>
      <c r="E8" s="305"/>
      <c r="F8" s="305"/>
      <c r="G8" s="305"/>
      <c r="H8" s="305"/>
      <c r="I8" s="305"/>
      <c r="J8" s="305"/>
      <c r="K8" s="305"/>
      <c r="L8" s="305"/>
      <c r="M8" s="305"/>
      <c r="N8" s="305"/>
      <c r="O8" s="306"/>
    </row>
    <row r="9" spans="2:15">
      <c r="B9" s="304"/>
      <c r="C9" s="305"/>
      <c r="D9" s="305"/>
      <c r="E9" s="305"/>
      <c r="F9" s="305"/>
      <c r="G9" s="305"/>
      <c r="H9" s="305"/>
      <c r="I9" s="305"/>
      <c r="J9" s="305"/>
      <c r="K9" s="305"/>
      <c r="L9" s="305"/>
      <c r="M9" s="305"/>
      <c r="N9" s="305"/>
      <c r="O9" s="306"/>
    </row>
    <row r="10" spans="2:15">
      <c r="B10" s="304"/>
      <c r="C10" s="305"/>
      <c r="D10" s="305"/>
      <c r="E10" s="305"/>
      <c r="F10" s="305"/>
      <c r="G10" s="305"/>
      <c r="H10" s="305"/>
      <c r="I10" s="305"/>
      <c r="J10" s="305"/>
      <c r="K10" s="305"/>
      <c r="L10" s="305"/>
      <c r="M10" s="305"/>
      <c r="N10" s="305"/>
      <c r="O10" s="306"/>
    </row>
    <row r="11" spans="2:15">
      <c r="B11" s="304"/>
      <c r="C11" s="305"/>
      <c r="D11" s="305"/>
      <c r="E11" s="305"/>
      <c r="F11" s="305"/>
      <c r="G11" s="305"/>
      <c r="H11" s="305"/>
      <c r="I11" s="305"/>
      <c r="J11" s="305"/>
      <c r="K11" s="305"/>
      <c r="L11" s="305"/>
      <c r="M11" s="305"/>
      <c r="N11" s="305"/>
      <c r="O11" s="306"/>
    </row>
    <row r="12" spans="2:15">
      <c r="B12" s="304"/>
      <c r="C12" s="305"/>
      <c r="D12" s="305"/>
      <c r="E12" s="305"/>
      <c r="F12" s="305"/>
      <c r="G12" s="305"/>
      <c r="H12" s="305"/>
      <c r="I12" s="305"/>
      <c r="J12" s="305"/>
      <c r="K12" s="305"/>
      <c r="L12" s="305"/>
      <c r="M12" s="305"/>
      <c r="N12" s="305"/>
      <c r="O12" s="306"/>
    </row>
    <row r="13" spans="2:15">
      <c r="B13" s="304"/>
      <c r="C13" s="305"/>
      <c r="D13" s="305"/>
      <c r="E13" s="305"/>
      <c r="F13" s="305"/>
      <c r="G13" s="305"/>
      <c r="H13" s="305"/>
      <c r="I13" s="305"/>
      <c r="J13" s="305"/>
      <c r="K13" s="305"/>
      <c r="L13" s="305"/>
      <c r="M13" s="305"/>
      <c r="N13" s="305"/>
      <c r="O13" s="306"/>
    </row>
    <row r="14" spans="2:15">
      <c r="B14" s="304"/>
      <c r="C14" s="305"/>
      <c r="D14" s="305"/>
      <c r="E14" s="305"/>
      <c r="F14" s="305"/>
      <c r="G14" s="305"/>
      <c r="H14" s="305"/>
      <c r="I14" s="305"/>
      <c r="J14" s="305"/>
      <c r="K14" s="305"/>
      <c r="L14" s="305"/>
      <c r="M14" s="305"/>
      <c r="N14" s="305"/>
      <c r="O14" s="306"/>
    </row>
    <row r="15" spans="2:15">
      <c r="B15" s="304"/>
      <c r="C15" s="305"/>
      <c r="D15" s="305"/>
      <c r="E15" s="305"/>
      <c r="F15" s="305"/>
      <c r="G15" s="305"/>
      <c r="H15" s="305"/>
      <c r="I15" s="305"/>
      <c r="J15" s="305"/>
      <c r="K15" s="305"/>
      <c r="L15" s="305"/>
      <c r="M15" s="305"/>
      <c r="N15" s="305"/>
      <c r="O15" s="306"/>
    </row>
    <row r="16" spans="2:15">
      <c r="B16" s="304"/>
      <c r="C16" s="305"/>
      <c r="D16" s="305"/>
      <c r="E16" s="305"/>
      <c r="F16" s="305"/>
      <c r="G16" s="305"/>
      <c r="H16" s="305"/>
      <c r="I16" s="305"/>
      <c r="J16" s="305"/>
      <c r="K16" s="305"/>
      <c r="L16" s="305"/>
      <c r="M16" s="305"/>
      <c r="N16" s="305"/>
      <c r="O16" s="306"/>
    </row>
    <row r="17" spans="2:15">
      <c r="B17" s="304"/>
      <c r="C17" s="305"/>
      <c r="D17" s="305"/>
      <c r="E17" s="305"/>
      <c r="F17" s="305"/>
      <c r="G17" s="305"/>
      <c r="H17" s="305"/>
      <c r="I17" s="305"/>
      <c r="J17" s="305"/>
      <c r="K17" s="305"/>
      <c r="L17" s="305"/>
      <c r="M17" s="305"/>
      <c r="N17" s="305"/>
      <c r="O17" s="306"/>
    </row>
    <row r="18" spans="2:15">
      <c r="B18" s="304"/>
      <c r="C18" s="305"/>
      <c r="D18" s="305"/>
      <c r="E18" s="305"/>
      <c r="F18" s="305"/>
      <c r="G18" s="305"/>
      <c r="H18" s="305"/>
      <c r="I18" s="305"/>
      <c r="J18" s="305"/>
      <c r="K18" s="305"/>
      <c r="L18" s="305"/>
      <c r="M18" s="305"/>
      <c r="N18" s="305"/>
      <c r="O18" s="306"/>
    </row>
    <row r="19" spans="2:15">
      <c r="B19" s="304"/>
      <c r="C19" s="305"/>
      <c r="D19" s="305"/>
      <c r="E19" s="305"/>
      <c r="F19" s="305"/>
      <c r="G19" s="305"/>
      <c r="H19" s="305"/>
      <c r="I19" s="305"/>
      <c r="J19" s="305"/>
      <c r="K19" s="305"/>
      <c r="L19" s="305"/>
      <c r="M19" s="305"/>
      <c r="N19" s="305"/>
      <c r="O19" s="306"/>
    </row>
    <row r="20" spans="2:15">
      <c r="B20" s="304"/>
      <c r="C20" s="305"/>
      <c r="D20" s="305"/>
      <c r="E20" s="305"/>
      <c r="F20" s="305"/>
      <c r="G20" s="305"/>
      <c r="H20" s="305"/>
      <c r="I20" s="305"/>
      <c r="J20" s="305"/>
      <c r="K20" s="305"/>
      <c r="L20" s="305"/>
      <c r="M20" s="305"/>
      <c r="N20" s="305"/>
      <c r="O20" s="306"/>
    </row>
    <row r="21" spans="2:15">
      <c r="B21" s="304"/>
      <c r="C21" s="305"/>
      <c r="D21" s="305"/>
      <c r="E21" s="305"/>
      <c r="F21" s="305"/>
      <c r="G21" s="305"/>
      <c r="H21" s="305"/>
      <c r="I21" s="305"/>
      <c r="J21" s="305"/>
      <c r="K21" s="305"/>
      <c r="L21" s="305"/>
      <c r="M21" s="305"/>
      <c r="N21" s="305"/>
      <c r="O21" s="306"/>
    </row>
    <row r="22" spans="2:15">
      <c r="B22" s="304"/>
      <c r="C22" s="305"/>
      <c r="D22" s="305"/>
      <c r="E22" s="305"/>
      <c r="F22" s="305"/>
      <c r="G22" s="305"/>
      <c r="H22" s="305"/>
      <c r="I22" s="305"/>
      <c r="J22" s="305"/>
      <c r="K22" s="305"/>
      <c r="L22" s="305"/>
      <c r="M22" s="305"/>
      <c r="N22" s="305"/>
      <c r="O22" s="306"/>
    </row>
    <row r="23" spans="2:15">
      <c r="B23" s="304"/>
      <c r="C23" s="305"/>
      <c r="D23" s="305"/>
      <c r="E23" s="305"/>
      <c r="F23" s="305"/>
      <c r="G23" s="305"/>
      <c r="H23" s="305"/>
      <c r="I23" s="305"/>
      <c r="J23" s="305"/>
      <c r="K23" s="305"/>
      <c r="L23" s="305"/>
      <c r="M23" s="305"/>
      <c r="N23" s="305"/>
      <c r="O23" s="306"/>
    </row>
    <row r="24" spans="2:15">
      <c r="B24" s="304"/>
      <c r="C24" s="305"/>
      <c r="D24" s="305"/>
      <c r="E24" s="305"/>
      <c r="F24" s="305"/>
      <c r="G24" s="305"/>
      <c r="H24" s="305"/>
      <c r="I24" s="305"/>
      <c r="J24" s="305"/>
      <c r="K24" s="305"/>
      <c r="L24" s="305"/>
      <c r="M24" s="305"/>
      <c r="N24" s="305"/>
      <c r="O24" s="306"/>
    </row>
    <row r="25" spans="2:15">
      <c r="B25" s="304"/>
      <c r="C25" s="305"/>
      <c r="D25" s="305"/>
      <c r="E25" s="305"/>
      <c r="F25" s="305"/>
      <c r="G25" s="305"/>
      <c r="H25" s="305"/>
      <c r="I25" s="305"/>
      <c r="J25" s="305"/>
      <c r="K25" s="305"/>
      <c r="L25" s="305"/>
      <c r="M25" s="305"/>
      <c r="N25" s="305"/>
      <c r="O25" s="306"/>
    </row>
    <row r="26" spans="2:15">
      <c r="B26" s="304"/>
      <c r="C26" s="305"/>
      <c r="D26" s="305"/>
      <c r="E26" s="305"/>
      <c r="F26" s="305"/>
      <c r="G26" s="305"/>
      <c r="H26" s="305"/>
      <c r="I26" s="305"/>
      <c r="J26" s="305"/>
      <c r="K26" s="305"/>
      <c r="L26" s="305"/>
      <c r="M26" s="305"/>
      <c r="N26" s="305"/>
      <c r="O26" s="306"/>
    </row>
    <row r="27" spans="2:15">
      <c r="B27" s="304"/>
      <c r="C27" s="305"/>
      <c r="D27" s="305"/>
      <c r="E27" s="305"/>
      <c r="F27" s="305"/>
      <c r="G27" s="305"/>
      <c r="H27" s="305"/>
      <c r="I27" s="305"/>
      <c r="J27" s="305"/>
      <c r="K27" s="305"/>
      <c r="L27" s="305"/>
      <c r="M27" s="305"/>
      <c r="N27" s="305"/>
      <c r="O27" s="306"/>
    </row>
    <row r="28" spans="2:15">
      <c r="B28" s="304"/>
      <c r="C28" s="305"/>
      <c r="D28" s="305"/>
      <c r="E28" s="305"/>
      <c r="F28" s="305"/>
      <c r="G28" s="305"/>
      <c r="H28" s="305"/>
      <c r="I28" s="305"/>
      <c r="J28" s="305"/>
      <c r="K28" s="305"/>
      <c r="L28" s="305"/>
      <c r="M28" s="305"/>
      <c r="N28" s="305"/>
      <c r="O28" s="306"/>
    </row>
    <row r="29" spans="2:15">
      <c r="B29" s="304"/>
      <c r="C29" s="305"/>
      <c r="D29" s="305"/>
      <c r="E29" s="305"/>
      <c r="F29" s="305"/>
      <c r="G29" s="305"/>
      <c r="H29" s="305"/>
      <c r="I29" s="305"/>
      <c r="J29" s="305"/>
      <c r="K29" s="305"/>
      <c r="L29" s="305"/>
      <c r="M29" s="305"/>
      <c r="N29" s="305"/>
      <c r="O29" s="306"/>
    </row>
    <row r="30" spans="2:15">
      <c r="B30" s="304"/>
      <c r="C30" s="305"/>
      <c r="D30" s="305"/>
      <c r="E30" s="305"/>
      <c r="F30" s="305"/>
      <c r="G30" s="305"/>
      <c r="H30" s="305"/>
      <c r="I30" s="305"/>
      <c r="J30" s="305"/>
      <c r="K30" s="305"/>
      <c r="L30" s="305"/>
      <c r="M30" s="305"/>
      <c r="N30" s="305"/>
      <c r="O30" s="306"/>
    </row>
    <row r="31" spans="2:15">
      <c r="B31" s="304"/>
      <c r="C31" s="305"/>
      <c r="D31" s="305"/>
      <c r="E31" s="305"/>
      <c r="F31" s="305"/>
      <c r="G31" s="305"/>
      <c r="H31" s="305"/>
      <c r="I31" s="305"/>
      <c r="J31" s="305"/>
      <c r="K31" s="305"/>
      <c r="L31" s="305"/>
      <c r="M31" s="305"/>
      <c r="N31" s="305"/>
      <c r="O31" s="306"/>
    </row>
    <row r="32" spans="2:15">
      <c r="B32" s="304"/>
      <c r="C32" s="305"/>
      <c r="D32" s="305"/>
      <c r="E32" s="305"/>
      <c r="F32" s="305"/>
      <c r="G32" s="305"/>
      <c r="H32" s="305"/>
      <c r="I32" s="305"/>
      <c r="J32" s="305"/>
      <c r="K32" s="305"/>
      <c r="L32" s="305"/>
      <c r="M32" s="305"/>
      <c r="N32" s="305"/>
      <c r="O32" s="306"/>
    </row>
    <row r="33" spans="2:15">
      <c r="B33" s="304"/>
      <c r="C33" s="305"/>
      <c r="D33" s="305"/>
      <c r="E33" s="305"/>
      <c r="F33" s="305"/>
      <c r="G33" s="305"/>
      <c r="H33" s="305"/>
      <c r="I33" s="305"/>
      <c r="J33" s="305"/>
      <c r="K33" s="305"/>
      <c r="L33" s="305"/>
      <c r="M33" s="305"/>
      <c r="N33" s="305"/>
      <c r="O33" s="306"/>
    </row>
    <row r="34" spans="2:15">
      <c r="B34" s="308"/>
      <c r="C34" s="309"/>
      <c r="D34" s="309"/>
      <c r="E34" s="309"/>
      <c r="F34" s="309"/>
      <c r="G34" s="309"/>
      <c r="H34" s="309"/>
      <c r="I34" s="309"/>
      <c r="J34" s="309"/>
      <c r="K34" s="309"/>
      <c r="L34" s="309"/>
      <c r="M34" s="309"/>
      <c r="N34" s="309"/>
      <c r="O34" s="310"/>
    </row>
    <row r="37" spans="2:15" ht="25.5">
      <c r="C37" s="312" t="s">
        <v>459</v>
      </c>
      <c r="D37" s="312" t="s">
        <v>486</v>
      </c>
      <c r="E37" s="312" t="s">
        <v>461</v>
      </c>
      <c r="H37" s="311" t="s">
        <v>459</v>
      </c>
      <c r="I37" s="311" t="s">
        <v>487</v>
      </c>
      <c r="J37" s="311" t="s">
        <v>488</v>
      </c>
    </row>
    <row r="38" spans="2:15">
      <c r="B38" s="108" t="s">
        <v>489</v>
      </c>
      <c r="C38" s="108">
        <v>225</v>
      </c>
      <c r="D38" s="108">
        <v>51</v>
      </c>
      <c r="E38" s="108">
        <v>332</v>
      </c>
      <c r="G38" s="108" t="s">
        <v>489</v>
      </c>
      <c r="H38" s="108">
        <v>225</v>
      </c>
      <c r="I38" s="108">
        <v>40</v>
      </c>
      <c r="J38" s="108">
        <f>0.9*I38</f>
        <v>36</v>
      </c>
    </row>
    <row r="39" spans="2:15">
      <c r="B39" s="108" t="s">
        <v>490</v>
      </c>
      <c r="C39" s="108">
        <v>177</v>
      </c>
      <c r="D39" s="108">
        <v>48</v>
      </c>
      <c r="E39" s="108">
        <v>259</v>
      </c>
      <c r="G39" s="108" t="s">
        <v>490</v>
      </c>
      <c r="H39" s="108">
        <v>177</v>
      </c>
      <c r="I39" s="108">
        <v>50</v>
      </c>
      <c r="J39" s="108">
        <f t="shared" ref="J39:J40" si="0">1.1*I39</f>
        <v>55.000000000000007</v>
      </c>
    </row>
    <row r="40" spans="2:15">
      <c r="B40" s="108" t="s">
        <v>491</v>
      </c>
      <c r="C40" s="108">
        <v>38</v>
      </c>
      <c r="D40" s="108">
        <v>13</v>
      </c>
      <c r="E40" s="108">
        <v>71</v>
      </c>
      <c r="G40" s="108" t="s">
        <v>491</v>
      </c>
      <c r="H40" s="108">
        <v>38</v>
      </c>
      <c r="I40" s="108">
        <v>35</v>
      </c>
      <c r="J40" s="108">
        <f t="shared" si="0"/>
        <v>38.5</v>
      </c>
    </row>
    <row r="41" spans="2:15">
      <c r="B41" s="108" t="s">
        <v>492</v>
      </c>
      <c r="C41" s="108">
        <v>179</v>
      </c>
      <c r="D41" s="108">
        <v>41</v>
      </c>
      <c r="E41" s="108">
        <v>263</v>
      </c>
      <c r="G41" s="108" t="s">
        <v>492</v>
      </c>
      <c r="H41" s="108">
        <v>179</v>
      </c>
      <c r="I41" s="108">
        <v>60</v>
      </c>
      <c r="J41" s="108">
        <f>0.9*I41</f>
        <v>54</v>
      </c>
    </row>
    <row r="42" spans="2:15">
      <c r="B42" s="108" t="s">
        <v>493</v>
      </c>
      <c r="C42" s="108">
        <v>60</v>
      </c>
      <c r="D42" s="108">
        <v>29</v>
      </c>
      <c r="E42" s="108">
        <v>93</v>
      </c>
      <c r="G42" s="108" t="s">
        <v>493</v>
      </c>
      <c r="H42" s="108">
        <v>60</v>
      </c>
      <c r="I42" s="108">
        <v>45</v>
      </c>
      <c r="J42" s="108">
        <f t="shared" ref="J42:J43" si="1">1.1*I42</f>
        <v>49.500000000000007</v>
      </c>
    </row>
    <row r="43" spans="2:15">
      <c r="B43" s="108" t="s">
        <v>494</v>
      </c>
      <c r="C43" s="108">
        <v>64</v>
      </c>
      <c r="D43" s="108">
        <v>9</v>
      </c>
      <c r="E43" s="108">
        <v>108</v>
      </c>
      <c r="G43" s="108" t="s">
        <v>494</v>
      </c>
      <c r="H43" s="108">
        <v>64</v>
      </c>
      <c r="I43" s="108">
        <v>23</v>
      </c>
      <c r="J43" s="108">
        <f t="shared" si="1"/>
        <v>25.3</v>
      </c>
    </row>
    <row r="44" spans="2:15">
      <c r="B44" s="108" t="s">
        <v>495</v>
      </c>
      <c r="C44" s="108">
        <v>328</v>
      </c>
      <c r="D44" s="108">
        <v>37</v>
      </c>
      <c r="E44" s="108">
        <v>507</v>
      </c>
      <c r="G44" s="108" t="s">
        <v>495</v>
      </c>
      <c r="H44" s="108">
        <v>328</v>
      </c>
      <c r="I44" s="108">
        <v>55</v>
      </c>
      <c r="J44" s="108">
        <f>0.9*I44</f>
        <v>49.5</v>
      </c>
    </row>
    <row r="45" spans="2:15">
      <c r="B45" s="108" t="s">
        <v>496</v>
      </c>
      <c r="C45" s="108">
        <v>401</v>
      </c>
      <c r="D45" s="108">
        <v>49</v>
      </c>
      <c r="E45" s="108">
        <v>668</v>
      </c>
      <c r="G45" s="108" t="s">
        <v>496</v>
      </c>
      <c r="H45" s="108">
        <v>401</v>
      </c>
      <c r="I45" s="108">
        <v>67</v>
      </c>
      <c r="J45" s="108">
        <f t="shared" ref="J45:J46" si="2">1.1*I45</f>
        <v>73.7</v>
      </c>
    </row>
    <row r="46" spans="2:15">
      <c r="B46" s="108" t="s">
        <v>497</v>
      </c>
      <c r="C46" s="108">
        <v>0</v>
      </c>
      <c r="D46" s="108">
        <v>0</v>
      </c>
      <c r="E46" s="108">
        <v>0</v>
      </c>
      <c r="G46" s="108" t="s">
        <v>497</v>
      </c>
      <c r="H46" s="108">
        <v>0</v>
      </c>
      <c r="I46" s="108">
        <v>33</v>
      </c>
      <c r="J46" s="108">
        <f t="shared" si="2"/>
        <v>36.300000000000004</v>
      </c>
    </row>
    <row r="47" spans="2:15">
      <c r="B47" s="108" t="s">
        <v>498</v>
      </c>
      <c r="C47" s="108">
        <v>0</v>
      </c>
      <c r="D47" s="108">
        <v>0</v>
      </c>
      <c r="E47" s="108">
        <v>0</v>
      </c>
      <c r="G47" s="108" t="s">
        <v>498</v>
      </c>
      <c r="H47" s="108">
        <v>0</v>
      </c>
      <c r="I47" s="108">
        <v>24</v>
      </c>
      <c r="J47" s="108">
        <f>0.9*I47</f>
        <v>21.6</v>
      </c>
    </row>
    <row r="48" spans="2:15">
      <c r="B48" s="108" t="s">
        <v>499</v>
      </c>
      <c r="C48" s="108">
        <v>0</v>
      </c>
      <c r="D48" s="108">
        <v>0</v>
      </c>
      <c r="E48" s="108">
        <v>0</v>
      </c>
      <c r="G48" s="108" t="s">
        <v>499</v>
      </c>
      <c r="H48" s="108">
        <v>0</v>
      </c>
      <c r="I48" s="108">
        <v>56</v>
      </c>
      <c r="J48" s="108">
        <f t="shared" ref="J48" si="3">1.1*I48</f>
        <v>61.600000000000009</v>
      </c>
    </row>
    <row r="49" spans="1:10">
      <c r="B49" s="108" t="s">
        <v>500</v>
      </c>
      <c r="C49" s="108">
        <v>94</v>
      </c>
      <c r="D49" s="108">
        <v>95</v>
      </c>
      <c r="E49" s="108">
        <v>214</v>
      </c>
      <c r="G49" s="108" t="s">
        <v>500</v>
      </c>
      <c r="H49" s="108">
        <v>94</v>
      </c>
      <c r="I49" s="108">
        <v>34</v>
      </c>
      <c r="J49" s="108">
        <f>0.9*I49</f>
        <v>30.6</v>
      </c>
    </row>
    <row r="50" spans="1:10">
      <c r="B50" s="108" t="s">
        <v>501</v>
      </c>
      <c r="C50" s="108">
        <v>0</v>
      </c>
      <c r="D50" s="108">
        <v>0</v>
      </c>
      <c r="E50" s="108">
        <v>0</v>
      </c>
      <c r="G50" s="108" t="s">
        <v>501</v>
      </c>
      <c r="H50" s="108">
        <v>0</v>
      </c>
      <c r="I50" s="108">
        <v>23</v>
      </c>
      <c r="J50" s="108">
        <f t="shared" ref="J50" si="4">1.1*I50</f>
        <v>25.3</v>
      </c>
    </row>
    <row r="51" spans="1:10">
      <c r="B51" s="108" t="s">
        <v>502</v>
      </c>
      <c r="C51" s="108">
        <v>0</v>
      </c>
      <c r="D51" s="108">
        <v>0</v>
      </c>
      <c r="E51" s="108">
        <v>0</v>
      </c>
      <c r="G51" s="108" t="s">
        <v>502</v>
      </c>
      <c r="H51" s="108">
        <v>0</v>
      </c>
      <c r="I51" s="108">
        <v>43</v>
      </c>
      <c r="J51" s="108">
        <f>0.9*I51</f>
        <v>38.700000000000003</v>
      </c>
    </row>
    <row r="52" spans="1:10" ht="13.5" thickBot="1">
      <c r="B52" s="108" t="s">
        <v>119</v>
      </c>
      <c r="C52" s="313">
        <f>SUM(C38:C51)</f>
        <v>1566</v>
      </c>
      <c r="D52" s="313">
        <f>SUM(D38:D51)</f>
        <v>372</v>
      </c>
      <c r="E52" s="313">
        <f>SUM(E38:E51)</f>
        <v>2515</v>
      </c>
    </row>
    <row r="53" spans="1:10" ht="13.5" thickTop="1"/>
    <row r="54" spans="1:10">
      <c r="B54" s="108" t="s">
        <v>503</v>
      </c>
      <c r="C54" s="108">
        <v>1800</v>
      </c>
      <c r="D54" s="119">
        <v>400</v>
      </c>
      <c r="E54" s="108">
        <v>3200</v>
      </c>
    </row>
    <row r="55" spans="1:10" ht="15.75">
      <c r="B55" s="1295" t="s">
        <v>504</v>
      </c>
      <c r="C55" s="122">
        <f>C52/C54</f>
        <v>0.87</v>
      </c>
      <c r="D55" s="122">
        <f t="shared" ref="D55:E55" si="5">D52/D54</f>
        <v>0.93</v>
      </c>
      <c r="E55" s="122">
        <f t="shared" si="5"/>
        <v>0.78593749999999996</v>
      </c>
    </row>
    <row r="56" spans="1:10">
      <c r="B56" s="1295"/>
    </row>
    <row r="58" spans="1:10" ht="15.75">
      <c r="A58" s="108" t="s">
        <v>505</v>
      </c>
      <c r="B58" s="108" t="s">
        <v>506</v>
      </c>
      <c r="C58" s="122">
        <v>1.1000000000000001</v>
      </c>
    </row>
    <row r="59" spans="1:10" ht="15.75">
      <c r="B59" s="108" t="s">
        <v>507</v>
      </c>
      <c r="C59" s="122">
        <f>1-C58</f>
        <v>-0.10000000000000009</v>
      </c>
    </row>
  </sheetData>
  <mergeCells count="1">
    <mergeCell ref="B55:B56"/>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246BCE30CBC4DE4A8490585BC74F79FA" ma:contentTypeVersion="" ma:contentTypeDescription="Create a new document." ma:contentTypeScope="" ma:versionID="5804a14400427cdda2ec639a56deeec6">
  <xsd:schema xmlns:xsd="http://www.w3.org/2001/XMLSchema" xmlns:xs="http://www.w3.org/2001/XMLSchema" xmlns:p="http://schemas.microsoft.com/office/2006/metadata/properties" xmlns:ns2="273d4549-bbda-4517-99b3-b2dad3e99d98" xmlns:ns3="d47c6d40-1d42-42c5-9653-6d8ead98e951" targetNamespace="http://schemas.microsoft.com/office/2006/metadata/properties" ma:root="true" ma:fieldsID="5651d6b3f35b16da0662d0a18783d4cd" ns2:_="" ns3:_="">
    <xsd:import namespace="273d4549-bbda-4517-99b3-b2dad3e99d98"/>
    <xsd:import namespace="d47c6d40-1d42-42c5-9653-6d8ead98e951"/>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73d4549-bbda-4517-99b3-b2dad3e99d9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47c6d40-1d42-42c5-9653-6d8ead98e951"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73ECBCB8-BD4A-40D2-AC1B-51BB3CCCEFE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73d4549-bbda-4517-99b3-b2dad3e99d98"/>
    <ds:schemaRef ds:uri="d47c6d40-1d42-42c5-9653-6d8ead98e95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B7AA41B-FDFA-4787-ADCE-A6814EC85376}">
  <ds:schemaRefs>
    <ds:schemaRef ds:uri="http://schemas.microsoft.com/sharepoint/v3/contenttype/forms"/>
  </ds:schemaRefs>
</ds:datastoreItem>
</file>

<file path=customXml/itemProps3.xml><?xml version="1.0" encoding="utf-8"?>
<ds:datastoreItem xmlns:ds="http://schemas.openxmlformats.org/officeDocument/2006/customXml" ds:itemID="{F1D8D950-301D-4ABD-A13C-6C6F68D2A45A}">
  <ds:schemaRefs>
    <ds:schemaRef ds:uri="http://schemas.microsoft.com/office/2006/metadata/properties"/>
    <ds:schemaRef ds:uri="http://purl.org/dc/dcmitype/"/>
    <ds:schemaRef ds:uri="http://purl.org/dc/terms/"/>
    <ds:schemaRef ds:uri="http://schemas.microsoft.com/office/2006/documentManagement/types"/>
    <ds:schemaRef ds:uri="273d4549-bbda-4517-99b3-b2dad3e99d98"/>
    <ds:schemaRef ds:uri="http://www.w3.org/XML/1998/namespace"/>
    <ds:schemaRef ds:uri="http://purl.org/dc/elements/1.1/"/>
    <ds:schemaRef ds:uri="http://schemas.microsoft.com/office/infopath/2007/PartnerControls"/>
    <ds:schemaRef ds:uri="http://schemas.openxmlformats.org/package/2006/metadata/core-properties"/>
    <ds:schemaRef ds:uri="d47c6d40-1d42-42c5-9653-6d8ead98e95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44</vt:i4>
      </vt:variant>
      <vt:variant>
        <vt:lpstr>Plages nommées</vt:lpstr>
      </vt:variant>
      <vt:variant>
        <vt:i4>15</vt:i4>
      </vt:variant>
    </vt:vector>
  </HeadingPairs>
  <TitlesOfParts>
    <vt:vector size="59" baseType="lpstr">
      <vt:lpstr>Prior BoD</vt:lpstr>
      <vt:lpstr>VISIAL LOB</vt:lpstr>
      <vt:lpstr>VISUALS_AGG. Demand</vt:lpstr>
      <vt:lpstr>Current BoD</vt:lpstr>
      <vt:lpstr>FY22 Fcst</vt:lpstr>
      <vt:lpstr>I.2 Operating Perfor_CONS_YTD</vt:lpstr>
      <vt:lpstr>VISUAL P&amp;L</vt:lpstr>
      <vt:lpstr>5,6 Inventory stratificatio (2)</vt:lpstr>
      <vt:lpstr>Analyse marge </vt:lpstr>
      <vt:lpstr>YTD Q1'23 SNA vs Q1'22</vt:lpstr>
      <vt:lpstr>YTD Q1'23 SND vs Q1'22</vt:lpstr>
      <vt:lpstr>YTD Q1'23 Cons. vs Q1'22</vt:lpstr>
      <vt:lpstr>Feuil1</vt:lpstr>
      <vt:lpstr>YTD Sep Cons. vs PY V2</vt:lpstr>
      <vt:lpstr>Amortization analyse </vt:lpstr>
      <vt:lpstr>TMM</vt:lpstr>
      <vt:lpstr>salary </vt:lpstr>
      <vt:lpstr>Other expense analyse </vt:lpstr>
      <vt:lpstr>Revenue analyse</vt:lpstr>
      <vt:lpstr>YTD Sep SNA vs PY</vt:lpstr>
      <vt:lpstr>Q1'23 CONSO vs BP Q1'22</vt:lpstr>
      <vt:lpstr>Q1'23 SNA vs BP Q1'22</vt:lpstr>
      <vt:lpstr>YTD Sep SND vs PY</vt:lpstr>
      <vt:lpstr>Q1'23 SND vs BP Q1'22</vt:lpstr>
      <vt:lpstr>6.1 Fin_strenght-Net Profit Dec</vt:lpstr>
      <vt:lpstr>6.1 Fin_strenght-Net Profit Sep</vt:lpstr>
      <vt:lpstr>Nour Net debt</vt:lpstr>
      <vt:lpstr>6.2 Financial Strenght - 3D</vt:lpstr>
      <vt:lpstr>WC Workings</vt:lpstr>
      <vt:lpstr>5.1 Corp. liquidity - WC Br DEC</vt:lpstr>
      <vt:lpstr>4.2 Export market stratif </vt:lpstr>
      <vt:lpstr>4.2 Domestic market stratif</vt:lpstr>
      <vt:lpstr>4.3 Domestic product strati</vt:lpstr>
      <vt:lpstr>5.1 Corp. liquidity - WC Br SEP</vt:lpstr>
      <vt:lpstr>5,6 Inventory stratification</vt:lpstr>
      <vt:lpstr>Feuil2</vt:lpstr>
      <vt:lpstr>Ch2 YTDQ3 Var consolidated</vt:lpstr>
      <vt:lpstr>Ch4 SNA+SND YoY Var YTD Q3</vt:lpstr>
      <vt:lpstr>Ch3 FY22 Fcst conso+SNA+SND</vt:lpstr>
      <vt:lpstr>Ch5 WC conso+SNA+SND &amp; Inv.</vt:lpstr>
      <vt:lpstr>Ch6 Debt&amp; financing</vt:lpstr>
      <vt:lpstr>Ch7&amp;8 Sales statistics</vt:lpstr>
      <vt:lpstr>4.2 Domestic market stratificat</vt:lpstr>
      <vt:lpstr>4.3 Domestic product stratif.</vt:lpstr>
      <vt:lpstr>'Q1''23 SNA vs BP Q1''22'!CodeGroupeAnalyse</vt:lpstr>
      <vt:lpstr>'Q1''23 SND vs BP Q1''22'!CodeGroupeAnalyse</vt:lpstr>
      <vt:lpstr>'YTD Q1''23 SND vs Q1''22'!CodeGroupeAnalyse</vt:lpstr>
      <vt:lpstr>'YTD Sep SND vs PY'!CodeGroupeAnalyse</vt:lpstr>
      <vt:lpstr>'Q1''23 SNA vs BP Q1''22'!DateFin1</vt:lpstr>
      <vt:lpstr>'Q1''23 SND vs BP Q1''22'!DateFin1</vt:lpstr>
      <vt:lpstr>'YTD Q1''23 SND vs Q1''22'!DateFin1</vt:lpstr>
      <vt:lpstr>'YTD Sep SND vs PY'!DateFin1</vt:lpstr>
      <vt:lpstr>'Q1''23 SNA vs BP Q1''22'!DateFin2</vt:lpstr>
      <vt:lpstr>'Q1''23 SND vs BP Q1''22'!DateFin2</vt:lpstr>
      <vt:lpstr>'YTD Q1''23 SND vs Q1''22'!DateFin2</vt:lpstr>
      <vt:lpstr>'YTD Sep SND vs PY'!DateFin2</vt:lpstr>
      <vt:lpstr>'I.2 Operating Perfor_CONS_YTD'!Zone_d_impression</vt:lpstr>
      <vt:lpstr>'YTD Q1''23 SNA vs Q1''22'!Zone_d_impression</vt:lpstr>
      <vt:lpstr>'YTD Sep SNA vs PY'!Zone_d_impression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FERIEL BEN SAFTA</cp:lastModifiedBy>
  <dcterms:created xsi:type="dcterms:W3CDTF">2022-10-18T07:08:49Z</dcterms:created>
  <dcterms:modified xsi:type="dcterms:W3CDTF">2023-04-27T07:23:59Z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0x010100246BCE30CBC4DE4A8490585BC74F79FA</vt:lpwstr>
  </property>
</Properties>
</file>